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0" windowWidth="19660" windowHeight="10680" tabRatio="988" activeTab="0"/>
  </bookViews>
  <sheets>
    <sheet name="Main Menu" sheetId="1" r:id="rId1"/>
    <sheet name="Standard Deviation" sheetId="2" r:id="rId2"/>
    <sheet name="Skewed Distribution " sheetId="3" r:id="rId3"/>
    <sheet name="Descriptive Statistics" sheetId="4" r:id="rId4"/>
    <sheet name="T-test (Unpaired)" sheetId="5" r:id="rId5"/>
    <sheet name="ANOVA" sheetId="6" r:id="rId6"/>
    <sheet name="Case-Control" sheetId="7" r:id="rId7"/>
    <sheet name="Cohort Studies" sheetId="8" r:id="rId8"/>
    <sheet name="Chi Squared Test" sheetId="9" r:id="rId9"/>
    <sheet name="Stratified" sheetId="10" r:id="rId10"/>
    <sheet name="CI - Proportion" sheetId="11" r:id="rId11"/>
    <sheet name="Correlation &amp; Linear Regression" sheetId="12" r:id="rId12"/>
    <sheet name="Epidemic curve" sheetId="13" r:id="rId13"/>
    <sheet name="Random # Generator" sheetId="14" r:id="rId14"/>
    <sheet name="T-tests" sheetId="15" r:id="rId15"/>
    <sheet name="Sample Size" sheetId="16" r:id="rId16"/>
    <sheet name="Survival Curve" sheetId="17" r:id="rId17"/>
    <sheet name="Screening" sheetId="18" r:id="rId18"/>
    <sheet name="Standardized Incidence Ratio" sheetId="19" r:id="rId19"/>
    <sheet name="Direct Standardization" sheetId="20" r:id="rId20"/>
  </sheets>
  <definedNames/>
  <calcPr fullCalcOnLoad="1"/>
</workbook>
</file>

<file path=xl/sharedStrings.xml><?xml version="1.0" encoding="utf-8"?>
<sst xmlns="http://schemas.openxmlformats.org/spreadsheetml/2006/main" count="770" uniqueCount="332">
  <si>
    <t>p-value=</t>
  </si>
  <si>
    <t>Exposed</t>
  </si>
  <si>
    <t>-Outcome</t>
  </si>
  <si>
    <t>+ Outcome</t>
  </si>
  <si>
    <t>Expected Under H0</t>
  </si>
  <si>
    <t>Observed Data</t>
  </si>
  <si>
    <t>Non-exposed</t>
  </si>
  <si>
    <t>8/210=</t>
  </si>
  <si>
    <t>Period</t>
  </si>
  <si>
    <t>Initial No. at                    Risk</t>
  </si>
  <si>
    <t xml:space="preserve">Events </t>
  </si>
  <si>
    <t>Lost to       Follow-up</t>
  </si>
  <si>
    <t>Effective          No. at Risk</t>
  </si>
  <si>
    <t>Risk</t>
  </si>
  <si>
    <t>Survival            Prob.</t>
  </si>
  <si>
    <t>Cumulative Surv. Prob.</t>
  </si>
  <si>
    <t>95% Lower Bound</t>
  </si>
  <si>
    <t>95% Upper Bound</t>
  </si>
  <si>
    <t>sum q/pL</t>
  </si>
  <si>
    <t>Effective Size</t>
  </si>
  <si>
    <t>Enter data into the blue cells to calculate a p-value with the chi squared test.</t>
  </si>
  <si>
    <t>Example</t>
  </si>
  <si>
    <t>Survival Curves</t>
  </si>
  <si>
    <t>(Adapted from Kenneth Rothman's "Episheet".)</t>
  </si>
  <si>
    <t>In the blue cells enter the initial # of subjects at risk (C8), and then the # of events and losses to follow up for each period.</t>
  </si>
  <si>
    <t>Cases</t>
  </si>
  <si>
    <t>Controls</t>
  </si>
  <si>
    <t>Odds Ratio=</t>
  </si>
  <si>
    <t>Chi Sq=</t>
  </si>
  <si>
    <t>The Chi Squared Test is based on the difference between the frequency distribution that was observed and the frequency distribution that would have been expected under the null hypothesis. In the example above, only 8 of 210 subjects had the outcome of interest (3.8095%). Under the null hypothesis, we would expect 3.8095% of the exposed group to have the outcome, and we would expect 3.8095% of the non-exposed group to have the outcome as well. The 2x2 table to the right calculates the frequencies expected under the null hypothesis</t>
  </si>
  <si>
    <t>The Chi Squared statistic is calculated from the difference between observed and expected values for each cell. The difference is squared and then divided by the expected value for the cell. This calculation is repeated for each cell and the results are summed. Note that the chi squared test is a "large sample test"; it should not be used if the number of expected observations in any of the cells is &lt;5, because it gives falsely low p-values. In this case, Fisher's Exact Test should be used.</t>
  </si>
  <si>
    <t>For example, the number of runners who finished a marathon in less than 4 hours among those who trained not at all, a little, moderately, or a lot.</t>
  </si>
  <si>
    <t>Finished</t>
  </si>
  <si>
    <t>Didn't finish</t>
  </si>
  <si>
    <t>Not at all</t>
  </si>
  <si>
    <t>A little</t>
  </si>
  <si>
    <t>Moderately</t>
  </si>
  <si>
    <t>A lot</t>
  </si>
  <si>
    <t>The chi squared test can also be applied to situations with multiple groups and outcomes.</t>
  </si>
  <si>
    <t xml:space="preserve">The Excel function </t>
  </si>
  <si>
    <t>CHITEST</t>
  </si>
  <si>
    <t>frequencies and the range of expected observations. For example,</t>
  </si>
  <si>
    <t>will calculate the p-value automatically, if you specify the range of actual (observed)</t>
  </si>
  <si>
    <t>Case-Control Studies</t>
  </si>
  <si>
    <t>Upper 95% CI=</t>
  </si>
  <si>
    <t>Lower 95% CI=</t>
  </si>
  <si>
    <t>Incidence</t>
  </si>
  <si>
    <t>exposed=</t>
  </si>
  <si>
    <t>nonexposed=</t>
  </si>
  <si>
    <t>Cohort Studies- Cumulative Incidence</t>
  </si>
  <si>
    <t>Relative Risk=</t>
  </si>
  <si>
    <t>Cohort Studies- Incidence Rate</t>
  </si>
  <si>
    <t>Diseased</t>
  </si>
  <si>
    <t>No Disease</t>
  </si>
  <si>
    <t>-</t>
  </si>
  <si>
    <t>Person-Time observation</t>
  </si>
  <si>
    <t>m=</t>
  </si>
  <si>
    <t>b=</t>
  </si>
  <si>
    <t>LOS</t>
  </si>
  <si>
    <t>Before</t>
  </si>
  <si>
    <t>After</t>
  </si>
  <si>
    <t>BMI</t>
  </si>
  <si>
    <t>Your data should now look like this:</t>
  </si>
  <si>
    <t># of people</t>
  </si>
  <si>
    <t>before</t>
  </si>
  <si>
    <t>after</t>
  </si>
  <si>
    <t>total</t>
  </si>
  <si>
    <t>Variance</t>
  </si>
  <si>
    <t>r=</t>
  </si>
  <si>
    <t>r2=</t>
  </si>
  <si>
    <t>Savings</t>
  </si>
  <si>
    <t>Weeks</t>
  </si>
  <si>
    <t>Table for (Z1-alpha/2+Z1-beta)squared</t>
  </si>
  <si>
    <t>beta</t>
  </si>
  <si>
    <t>Mean</t>
  </si>
  <si>
    <t>Stan. Dev</t>
  </si>
  <si>
    <t>alpha</t>
  </si>
  <si>
    <t>Group 1</t>
  </si>
  <si>
    <t>Difference in means=</t>
  </si>
  <si>
    <t>%</t>
  </si>
  <si>
    <t>Group 2</t>
  </si>
  <si>
    <t>Sample Size Needed in Each Group</t>
  </si>
  <si>
    <t>alpha level</t>
  </si>
  <si>
    <t>Power</t>
  </si>
  <si>
    <t>("p" value)</t>
  </si>
  <si>
    <t>The red cells indicate the two</t>
  </si>
  <si>
    <t>most commonly used estimates,</t>
  </si>
  <si>
    <t>i.e. based on 90% or 80% power</t>
  </si>
  <si>
    <t>=================================================================</t>
  </si>
  <si>
    <t>Proportion with</t>
  </si>
  <si>
    <t>(without)</t>
  </si>
  <si>
    <t>"Y"</t>
  </si>
  <si>
    <t>"X"</t>
  </si>
  <si>
    <t>Standard Deviation</t>
  </si>
  <si>
    <t>Counts for Bar Chart</t>
  </si>
  <si>
    <t>frequency</t>
  </si>
  <si>
    <t>Data set 1:</t>
  </si>
  <si>
    <t>Data set 2:</t>
  </si>
  <si>
    <t>Many biological characteristics that are measurements follow a Normal distribution fairly closely, meaning their frequency distributions are bell-shaped and symmetrical around a mean or average value. The shape of the bell will vary between tall and skinny for samples with relatively little variability to short and wide for samples that have a lot of variability. Characteristics like these can be neatly summarized by two parameters: the mean and the standard deviation.                                                                                             To the right and left are two datasets that show values of body mass index (BMI). I can graph the frequency distribution of each dataset by following these steps: 1) I select the block of data; 2) I click on "Data" from the tool bar above, and then choose "Sort"; 3) I then indicate that it is to be sorted according to the column the data is located in, and select "Ok." 3) With the data sorted I can easily determine the minimum and maximum values and the frequency of each of the values in the range. I count how many of each there are and put these tallies in the smaller table entitled "Counts for Bar Chart". 4) I select the 2 column block of data in the "Counts for Bar Chart" and click on the Graph icon from the toolbar above (it is the miniature, multicolored vertical bar chart). I then indicate I want a vertical bar chart. Note: If it graphs the BMI and Frequency as two separate entities, you may have to first create the chart as an "XY Scatter" to indicate that they are related, and then convert the chart to a vertical bar.</t>
  </si>
  <si>
    <t>SD</t>
  </si>
  <si>
    <t>Median</t>
  </si>
  <si>
    <t>The red cells indicate the two most commonly used estimates, i.e. using a p-value &lt; ,05 and either 90 or 80% power.</t>
  </si>
  <si>
    <t xml:space="preserve">                                                                                                                      </t>
  </si>
  <si>
    <t xml:space="preserve">Examining the frequency distribution of a data set is an important first step in analysis. It gives an overall picture of the data, and the shape of the distribution determines the appropriate statistical analysis. Many statistical tests rely on the assumption that the data are normally distributed, and this isn't always the case. Below in the green cells is a data set with hospital length of stay (days) for rwo sets of patients who had femoral bypass surgery. One data set was collected before instituting a new clinical pathway and one set was collected after instituting it. </t>
  </si>
  <si>
    <t>Summary: Frequency of each LOS</t>
  </si>
  <si>
    <t>failed</t>
  </si>
  <si>
    <t>ok</t>
  </si>
  <si>
    <t>Two-tailed p-value; ttest with unequal variance</t>
  </si>
  <si>
    <t>10-20</t>
  </si>
  <si>
    <t>21-30</t>
  </si>
  <si>
    <t>31-40</t>
  </si>
  <si>
    <t>41-50</t>
  </si>
  <si>
    <t>51-60</t>
  </si>
  <si>
    <t>61-70</t>
  </si>
  <si>
    <t>Age</t>
  </si>
  <si>
    <t>Freq. failed</t>
  </si>
  <si>
    <t>Freq OK</t>
  </si>
  <si>
    <t>Consider the WBC counts (in thousands) in two groups of patients:</t>
  </si>
  <si>
    <t>N</t>
  </si>
  <si>
    <t>SEM (standard error of the mean)</t>
  </si>
  <si>
    <t>Two-tailed p-value by t-test for equal variance</t>
  </si>
  <si>
    <t>Two-tailed p-value by t-test for unequal variance</t>
  </si>
  <si>
    <t>BMI 1</t>
  </si>
  <si>
    <t>BMI 2</t>
  </si>
  <si>
    <t>p-value for unpaired t-test</t>
  </si>
  <si>
    <t>(before)</t>
  </si>
  <si>
    <t>(after)</t>
  </si>
  <si>
    <t>difference</t>
  </si>
  <si>
    <t>p-value with paired t-test</t>
  </si>
  <si>
    <t>Mean difference</t>
  </si>
  <si>
    <t>95% Confidence Interval for the Relative Risk (test-based)</t>
  </si>
  <si>
    <t xml:space="preserve">Prediction </t>
  </si>
  <si>
    <t>90% Confidence Interval</t>
  </si>
  <si>
    <t>95% Confidence Interval</t>
  </si>
  <si>
    <t>99% Confidence Interval</t>
  </si>
  <si>
    <t>Numerator</t>
  </si>
  <si>
    <t>Denominator</t>
  </si>
  <si>
    <t>Estimated</t>
  </si>
  <si>
    <t>+/-</t>
  </si>
  <si>
    <t>Lower</t>
  </si>
  <si>
    <t>Upper</t>
  </si>
  <si>
    <t>proportion</t>
  </si>
  <si>
    <t>Limit</t>
  </si>
  <si>
    <t>Conf Level</t>
  </si>
  <si>
    <t>se(lnRR)</t>
  </si>
  <si>
    <t>Confidence Interval for the Relative Risk</t>
  </si>
  <si>
    <t>Confidence Level</t>
  </si>
  <si>
    <t>(Test-based)</t>
  </si>
  <si>
    <t>(Precision-based)</t>
  </si>
  <si>
    <t>Upper CI=</t>
  </si>
  <si>
    <t>Lower CI=</t>
  </si>
  <si>
    <t>se(lnOR)</t>
  </si>
  <si>
    <t>Confidence Interval (precision-based)</t>
  </si>
  <si>
    <t>Test-based 95% CI</t>
  </si>
  <si>
    <t>"N"</t>
  </si>
  <si>
    <t>Anticipated Values: Put your anticipated proportions in the blue boxes.</t>
  </si>
  <si>
    <t>Subject</t>
  </si>
  <si>
    <t>Screening</t>
  </si>
  <si>
    <t>Gold Standard</t>
  </si>
  <si>
    <t>+</t>
  </si>
  <si>
    <t>Test</t>
  </si>
  <si>
    <t>Sensitivity</t>
  </si>
  <si>
    <t>Specificity</t>
  </si>
  <si>
    <t>PPV=</t>
  </si>
  <si>
    <t>NPV=</t>
  </si>
  <si>
    <t>Date of Onset</t>
  </si>
  <si>
    <t>Onset</t>
  </si>
  <si>
    <t># Cases</t>
  </si>
  <si>
    <t>Aortoiliac</t>
  </si>
  <si>
    <t>Fem-AK Pop</t>
  </si>
  <si>
    <t>Fem-Distal</t>
  </si>
  <si>
    <t>Anova: Single Factor</t>
  </si>
  <si>
    <t>SUMMARY</t>
  </si>
  <si>
    <t>Groups</t>
  </si>
  <si>
    <t>Count</t>
  </si>
  <si>
    <t>Sum</t>
  </si>
  <si>
    <t>Average</t>
  </si>
  <si>
    <t>ANOVA</t>
  </si>
  <si>
    <t>Source of Variation</t>
  </si>
  <si>
    <t>SS</t>
  </si>
  <si>
    <t>df</t>
  </si>
  <si>
    <t>MS</t>
  </si>
  <si>
    <t>F</t>
  </si>
  <si>
    <t>P-value</t>
  </si>
  <si>
    <t>F crit</t>
  </si>
  <si>
    <t>Between Groups</t>
  </si>
  <si>
    <t>Within Groups</t>
  </si>
  <si>
    <t>Total</t>
  </si>
  <si>
    <t>Normal Distribution &amp; 'Standard Deviation</t>
  </si>
  <si>
    <t>Skewed Distribution</t>
  </si>
  <si>
    <t>Statistical Tests</t>
  </si>
  <si>
    <t>Basic Concepts</t>
  </si>
  <si>
    <t>ANOVA (Analysis of Variance)</t>
  </si>
  <si>
    <t>Main Menu</t>
  </si>
  <si>
    <t>Epidemic curve (how to create one)</t>
  </si>
  <si>
    <t>Chi Squared Test</t>
  </si>
  <si>
    <t>Study Analysis</t>
  </si>
  <si>
    <t>Confidence Interval for a Proportion</t>
  </si>
  <si>
    <t>Case-Control</t>
  </si>
  <si>
    <t>Cohort Studies</t>
  </si>
  <si>
    <t xml:space="preserve">Screening Test Performance - Sensitivity/Specificity </t>
  </si>
  <si>
    <t>T-test (Unpaired)</t>
  </si>
  <si>
    <t>T-test (Paired)</t>
  </si>
  <si>
    <t>Sample Size Calculations</t>
  </si>
  <si>
    <t>Correlation &amp; Linear Regression</t>
  </si>
  <si>
    <t>Main Menu - The hyperlinks below take you to the appropriate worksheet.</t>
  </si>
  <si>
    <t>Stratum</t>
  </si>
  <si>
    <t>SE</t>
  </si>
  <si>
    <t>Standardized Proportion or "Rate"</t>
  </si>
  <si>
    <t>Standard Error</t>
  </si>
  <si>
    <t>95% CI for Standardized Rate</t>
  </si>
  <si>
    <t>Number of Events</t>
  </si>
  <si>
    <t>Number of Subjects</t>
  </si>
  <si>
    <t>Proportion or "Rate"</t>
  </si>
  <si>
    <t>Distribution of Reference Population</t>
  </si>
  <si>
    <t>e.g. age</t>
  </si>
  <si>
    <t>Totals</t>
  </si>
  <si>
    <t>&lt;5</t>
  </si>
  <si>
    <t>5-19</t>
  </si>
  <si>
    <t>20-44</t>
  </si>
  <si>
    <t>45-64</t>
  </si>
  <si>
    <t>65+</t>
  </si>
  <si>
    <t>Example:</t>
  </si>
  <si>
    <t>Adapted from Dr. Tim Heeren, Boston University School of Public Health, Dept. of Biostatistics</t>
  </si>
  <si>
    <r>
      <t>Direct Standardization</t>
    </r>
    <r>
      <rPr>
        <sz val="14"/>
        <rFont val="Arial"/>
        <family val="2"/>
      </rPr>
      <t xml:space="preserve"> (for Adjusted Rates)</t>
    </r>
  </si>
  <si>
    <t>Crude Rate</t>
  </si>
  <si>
    <t>Distribution of US Population in 1988</t>
  </si>
  <si>
    <t>Florida</t>
  </si>
  <si>
    <t>Alaska</t>
  </si>
  <si>
    <t>Standardized Rates (Proportions) - Direct Standardization</t>
  </si>
  <si>
    <t>For specific strata of a population (e.g. age groups) indicate the number of observed events and the number of people in the stratum in columns E and F. Indicate the distribution of some standard reference population in column C. [Leave a "1" in column F for extra strata to prevent calculation error.]</t>
  </si>
  <si>
    <t>Standardized Incidence Ratios</t>
  </si>
  <si>
    <t>&lt;20</t>
  </si>
  <si>
    <t>65-74</t>
  </si>
  <si>
    <t>75-84</t>
  </si>
  <si>
    <t>85+</t>
  </si>
  <si>
    <t># People in Community Strata</t>
  </si>
  <si>
    <t>State Cancer Rate (Standard)</t>
  </si>
  <si>
    <t>Expected # Community Cancers</t>
  </si>
  <si>
    <t>Observed # Community Cancers</t>
  </si>
  <si>
    <t>(Column CxD)</t>
  </si>
  <si>
    <t>Standarized Incidence Ratio (SIR):</t>
  </si>
  <si>
    <t>lower</t>
  </si>
  <si>
    <t>upper</t>
  </si>
  <si>
    <t>p value</t>
  </si>
  <si>
    <t>gap</t>
  </si>
  <si>
    <t>Confidence Limits for Observed Count</t>
  </si>
  <si>
    <t>obs</t>
  </si>
  <si>
    <t>Calculation by serial nested if statements</t>
  </si>
  <si>
    <t>Lower 95% Confidence Limit:</t>
  </si>
  <si>
    <t>Upper 95% Confidence Limit:</t>
  </si>
  <si>
    <t>SIR is useful for evaluating whether the number of observed cancers in a community exceeds the overall average rate for the entire state.</t>
  </si>
  <si>
    <t>Standardized Incidence Ratio</t>
  </si>
  <si>
    <t>Result</t>
  </si>
  <si>
    <t>Means:</t>
  </si>
  <si>
    <t>STD</t>
  </si>
  <si>
    <t>Std Error</t>
  </si>
  <si>
    <t>CONFIDENCE</t>
  </si>
  <si>
    <t>1.96* Std Error=</t>
  </si>
  <si>
    <t>T-crititcal</t>
  </si>
  <si>
    <t>T-crititcal*std err</t>
  </si>
  <si>
    <t>Using the Excel 'CONFIDENCE' function</t>
  </si>
  <si>
    <t>gives same thing as 1.96 x stderr</t>
  </si>
  <si>
    <t>Mode</t>
  </si>
  <si>
    <t>Minimum</t>
  </si>
  <si>
    <t>Maximum</t>
  </si>
  <si>
    <t>Note:</t>
  </si>
  <si>
    <r>
      <t>Descriptive Statistics</t>
    </r>
    <r>
      <rPr>
        <u val="single"/>
        <sz val="10"/>
        <color indexed="12"/>
        <rFont val="Arial"/>
        <family val="0"/>
      </rPr>
      <t xml:space="preserve"> (mean, median,mode, 95% confidence interval for a mean, standard deviation, standard error, range)</t>
    </r>
  </si>
  <si>
    <t>Example Data:</t>
  </si>
  <si>
    <t>Epidemiology/Biostatistics Tools</t>
  </si>
  <si>
    <t>Wayne W. LaMorte, MD, PhD, MPH                    Copyright 2006</t>
  </si>
  <si>
    <t>Random Number Generator</t>
  </si>
  <si>
    <t>Number of groups=</t>
  </si>
  <si>
    <t>Enter a seed #</t>
  </si>
  <si>
    <t>random #</t>
  </si>
  <si>
    <t>xe2</t>
  </si>
  <si>
    <t>/100</t>
  </si>
  <si>
    <t>trunc</t>
  </si>
  <si>
    <t>Assign to Group:</t>
  </si>
  <si>
    <t>Random Assignment to Groups</t>
  </si>
  <si>
    <t>Wayne W. LaMorte, MD, PhD, MPH   Copyright 2006</t>
  </si>
  <si>
    <t xml:space="preserve">Question: Was LOS different after instituting the pathway? </t>
  </si>
  <si>
    <t>Wayne W. LaMorte, MD, PhD, MPH                Copyright 2006</t>
  </si>
  <si>
    <t>Wayne W. LaMorte, MD, PhD, MPH            Copyright 2006</t>
  </si>
  <si>
    <t>Wayne W. LaMorte, MD, PhD, MPH                          Copyright 2006</t>
  </si>
  <si>
    <t>Wayne W. LaMorte, MD, PhD, MPH                      Copyright 2006</t>
  </si>
  <si>
    <t>Wayne W. LaMorte, MD, PhD, MPH                   Copyright 2006</t>
  </si>
  <si>
    <t>Wayne W. LaMorte, MD, PhD, MPH                                                              Copyright 2006</t>
  </si>
  <si>
    <t>Fisher's Exact Test (You need to be online to use this.)</t>
  </si>
  <si>
    <t>Conf. Level=</t>
  </si>
  <si>
    <t>Stratum 1</t>
  </si>
  <si>
    <t>Stratum 2</t>
  </si>
  <si>
    <t>Stratum 3</t>
  </si>
  <si>
    <t>Stratum 4</t>
  </si>
  <si>
    <t>Stratum 5</t>
  </si>
  <si>
    <t>Stratum 6</t>
  </si>
  <si>
    <t>ad/T=</t>
  </si>
  <si>
    <t>bc/T=</t>
  </si>
  <si>
    <t>Mantel-Haenszel OR=</t>
  </si>
  <si>
    <r>
      <t>[(ad-bc)/n]</t>
    </r>
    <r>
      <rPr>
        <sz val="10"/>
        <rFont val="Arial"/>
        <family val="0"/>
      </rPr>
      <t>=</t>
    </r>
  </si>
  <si>
    <r>
      <t>n</t>
    </r>
    <r>
      <rPr>
        <vertAlign val="subscript"/>
        <sz val="10"/>
        <rFont val="Arial"/>
        <family val="2"/>
      </rPr>
      <t>0</t>
    </r>
    <r>
      <rPr>
        <sz val="10"/>
        <rFont val="Arial"/>
        <family val="0"/>
      </rPr>
      <t>n</t>
    </r>
    <r>
      <rPr>
        <vertAlign val="subscript"/>
        <sz val="10"/>
        <rFont val="Arial"/>
        <family val="2"/>
      </rPr>
      <t>1</t>
    </r>
    <r>
      <rPr>
        <sz val="10"/>
        <rFont val="Arial"/>
        <family val="0"/>
      </rPr>
      <t>m</t>
    </r>
    <r>
      <rPr>
        <vertAlign val="subscript"/>
        <sz val="10"/>
        <rFont val="Arial"/>
        <family val="2"/>
      </rPr>
      <t>0</t>
    </r>
    <r>
      <rPr>
        <sz val="10"/>
        <rFont val="Arial"/>
        <family val="0"/>
      </rPr>
      <t>m</t>
    </r>
    <r>
      <rPr>
        <vertAlign val="subscript"/>
        <sz val="10"/>
        <rFont val="Arial"/>
        <family val="2"/>
      </rPr>
      <t>1</t>
    </r>
    <r>
      <rPr>
        <sz val="10"/>
        <rFont val="Arial"/>
        <family val="0"/>
      </rPr>
      <t>/(n</t>
    </r>
    <r>
      <rPr>
        <vertAlign val="superscript"/>
        <sz val="10"/>
        <rFont val="Arial"/>
        <family val="2"/>
      </rPr>
      <t>2</t>
    </r>
    <r>
      <rPr>
        <sz val="10"/>
        <rFont val="Arial"/>
        <family val="0"/>
      </rPr>
      <t>(n-1)=</t>
    </r>
  </si>
  <si>
    <t>Mantel-Haenszel chi square=</t>
  </si>
  <si>
    <t>Squared sums row 47</t>
  </si>
  <si>
    <t>sums of row 48</t>
  </si>
  <si>
    <t>MH chi sq</t>
  </si>
  <si>
    <t>MH p value</t>
  </si>
  <si>
    <t>Stratified Analysis (for 2-6 Substrata)</t>
  </si>
  <si>
    <t>Risk Ratio=</t>
  </si>
  <si>
    <t>Stratified Analysis for Cumulative Incidence (2-6 Substrata)</t>
  </si>
  <si>
    <t>Not</t>
  </si>
  <si>
    <t>a(c+d)</t>
  </si>
  <si>
    <t>Mantel-Haenszel RR=</t>
  </si>
  <si>
    <t>c(a+B)</t>
  </si>
  <si>
    <t>For Chi sq:</t>
  </si>
  <si>
    <t>For RR:</t>
  </si>
  <si>
    <t>a*Nu/Nt</t>
  </si>
  <si>
    <t>c*Ne/Nt</t>
  </si>
  <si>
    <t>RRmh</t>
  </si>
  <si>
    <t>Sums row 64</t>
  </si>
  <si>
    <t>Sums row 65</t>
  </si>
  <si>
    <t>(Buring)</t>
  </si>
  <si>
    <t>[(ad-bc)/n]=</t>
  </si>
  <si>
    <r>
      <t>n</t>
    </r>
    <r>
      <rPr>
        <vertAlign val="subscript"/>
        <sz val="10"/>
        <color indexed="55"/>
        <rFont val="Arial"/>
        <family val="0"/>
      </rPr>
      <t>0</t>
    </r>
    <r>
      <rPr>
        <sz val="10"/>
        <color indexed="55"/>
        <rFont val="Arial"/>
        <family val="0"/>
      </rPr>
      <t>n</t>
    </r>
    <r>
      <rPr>
        <vertAlign val="subscript"/>
        <sz val="10"/>
        <color indexed="55"/>
        <rFont val="Arial"/>
        <family val="0"/>
      </rPr>
      <t>1</t>
    </r>
    <r>
      <rPr>
        <sz val="10"/>
        <color indexed="55"/>
        <rFont val="Arial"/>
        <family val="0"/>
      </rPr>
      <t>m</t>
    </r>
    <r>
      <rPr>
        <vertAlign val="subscript"/>
        <sz val="10"/>
        <color indexed="55"/>
        <rFont val="Arial"/>
        <family val="0"/>
      </rPr>
      <t>0</t>
    </r>
    <r>
      <rPr>
        <sz val="10"/>
        <color indexed="55"/>
        <rFont val="Arial"/>
        <family val="0"/>
      </rPr>
      <t>m</t>
    </r>
    <r>
      <rPr>
        <vertAlign val="subscript"/>
        <sz val="10"/>
        <color indexed="55"/>
        <rFont val="Arial"/>
        <family val="0"/>
      </rPr>
      <t>1</t>
    </r>
    <r>
      <rPr>
        <sz val="10"/>
        <color indexed="55"/>
        <rFont val="Arial"/>
        <family val="0"/>
      </rPr>
      <t>/(n</t>
    </r>
    <r>
      <rPr>
        <vertAlign val="superscript"/>
        <sz val="10"/>
        <color indexed="55"/>
        <rFont val="Arial"/>
        <family val="0"/>
      </rPr>
      <t>2</t>
    </r>
    <r>
      <rPr>
        <sz val="10"/>
        <color indexed="55"/>
        <rFont val="Arial"/>
        <family val="0"/>
      </rPr>
      <t>(n-1)=</t>
    </r>
  </si>
  <si>
    <t>In order to perform analysis of variance you must first intall the Excel "Analysis Tool-Pak". Click on "Tools" (above) and then on "Add-Ins" and select "Analysis Tool Pack" and "Analysis Tool-Pak - VBA"; then click "Ok". After installation, when you click on "Tools," you will see a new selection ("Data Analysis") at the bottom of the Tools menu. When you select "Data Analysis" you will see options for analysis of variance and other procedures.</t>
  </si>
  <si>
    <t>t-</t>
  </si>
  <si>
    <t>N=?</t>
  </si>
  <si>
    <t>Risk Difference=</t>
  </si>
  <si>
    <t>AR%=</t>
  </si>
  <si>
    <t>Confidence Interval for the Risk Difference</t>
  </si>
  <si>
    <t># Needed to Treat=</t>
  </si>
  <si>
    <t>Unpaired T-test</t>
  </si>
  <si>
    <t>Paired T-test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</si>
</sst>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0"/>
    <numFmt numFmtId="167" formatCode="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m/d;@"/>
    <numFmt numFmtId="175" formatCode="m/d/yy;@"/>
    <numFmt numFmtId="176" formatCode="0.00000000"/>
    <numFmt numFmtId="177" formatCode="0.000000000"/>
  </numFmts>
  <fonts count="129">
    <font>
      <sz val="10"/>
      <name val="Arial"/>
      <family val="0"/>
    </font>
    <font>
      <b/>
      <sz val="12"/>
      <color indexed="12"/>
      <name val="Arial"/>
      <family val="2"/>
    </font>
    <font>
      <b/>
      <sz val="12"/>
      <color indexed="10"/>
      <name val="Arial"/>
      <family val="2"/>
    </font>
    <font>
      <sz val="8"/>
      <name val="Arial"/>
      <family val="2"/>
    </font>
    <font>
      <b/>
      <sz val="8"/>
      <color indexed="22"/>
      <name val="Arial"/>
      <family val="2"/>
    </font>
    <font>
      <sz val="8"/>
      <color indexed="22"/>
      <name val="Arial"/>
      <family val="2"/>
    </font>
    <font>
      <b/>
      <sz val="11"/>
      <color indexed="10"/>
      <name val="Arial"/>
      <family val="2"/>
    </font>
    <font>
      <b/>
      <sz val="11"/>
      <color indexed="22"/>
      <name val="Arial"/>
      <family val="2"/>
    </font>
    <font>
      <b/>
      <sz val="9"/>
      <color indexed="22"/>
      <name val="Arial"/>
      <family val="2"/>
    </font>
    <font>
      <b/>
      <sz val="12"/>
      <color indexed="17"/>
      <name val="Arial"/>
      <family val="0"/>
    </font>
    <font>
      <b/>
      <sz val="10"/>
      <color indexed="10"/>
      <name val="Arial"/>
      <family val="0"/>
    </font>
    <font>
      <sz val="12"/>
      <color indexed="17"/>
      <name val="Arial"/>
      <family val="2"/>
    </font>
    <font>
      <b/>
      <sz val="10"/>
      <name val="Arial"/>
      <family val="2"/>
    </font>
    <font>
      <b/>
      <sz val="12"/>
      <name val="Arial"/>
      <family val="0"/>
    </font>
    <font>
      <b/>
      <sz val="9"/>
      <name val="Arial"/>
      <family val="2"/>
    </font>
    <font>
      <sz val="9"/>
      <name val="Arial"/>
      <family val="2"/>
    </font>
    <font>
      <sz val="9"/>
      <color indexed="10"/>
      <name val="Arial"/>
      <family val="2"/>
    </font>
    <font>
      <sz val="9"/>
      <color indexed="61"/>
      <name val="Arial"/>
      <family val="2"/>
    </font>
    <font>
      <b/>
      <sz val="14"/>
      <color indexed="17"/>
      <name val="Arial"/>
      <family val="2"/>
    </font>
    <font>
      <b/>
      <sz val="10"/>
      <color indexed="17"/>
      <name val="Arial"/>
      <family val="0"/>
    </font>
    <font>
      <sz val="10"/>
      <color indexed="10"/>
      <name val="Arial"/>
      <family val="0"/>
    </font>
    <font>
      <b/>
      <sz val="10"/>
      <color indexed="39"/>
      <name val="MS Sans Serif"/>
      <family val="2"/>
    </font>
    <font>
      <b/>
      <sz val="10"/>
      <name val="MS Sans Serif"/>
      <family val="0"/>
    </font>
    <font>
      <sz val="10"/>
      <name val="MS Sans Serif"/>
      <family val="0"/>
    </font>
    <font>
      <b/>
      <sz val="8"/>
      <name val="MS Sans Serif"/>
      <family val="0"/>
    </font>
    <font>
      <b/>
      <i/>
      <sz val="10"/>
      <name val="MS Sans Serif"/>
      <family val="0"/>
    </font>
    <font>
      <b/>
      <sz val="10"/>
      <color indexed="10"/>
      <name val="MS Sans Serif"/>
      <family val="2"/>
    </font>
    <font>
      <b/>
      <sz val="10"/>
      <color indexed="12"/>
      <name val="Arial"/>
      <family val="2"/>
    </font>
    <font>
      <b/>
      <sz val="11"/>
      <color indexed="17"/>
      <name val="Arial"/>
      <family val="2"/>
    </font>
    <font>
      <b/>
      <sz val="14"/>
      <name val="Arial"/>
      <family val="2"/>
    </font>
    <font>
      <sz val="14"/>
      <color indexed="17"/>
      <name val="Arial"/>
      <family val="2"/>
    </font>
    <font>
      <sz val="14"/>
      <name val="Arial"/>
      <family val="2"/>
    </font>
    <font>
      <b/>
      <sz val="10"/>
      <color indexed="9"/>
      <name val="Arial"/>
      <family val="2"/>
    </font>
    <font>
      <sz val="10"/>
      <color indexed="9"/>
      <name val="Arial"/>
      <family val="2"/>
    </font>
    <font>
      <i/>
      <sz val="10"/>
      <name val="Arial"/>
      <family val="0"/>
    </font>
    <font>
      <sz val="10"/>
      <color indexed="22"/>
      <name val="Arial"/>
      <family val="0"/>
    </font>
    <font>
      <sz val="10"/>
      <color indexed="23"/>
      <name val="Arial"/>
      <family val="0"/>
    </font>
    <font>
      <sz val="10"/>
      <color indexed="22"/>
      <name val="MS Sans Serif"/>
      <family val="0"/>
    </font>
    <font>
      <b/>
      <sz val="10"/>
      <color indexed="22"/>
      <name val="Arial"/>
      <family val="0"/>
    </font>
    <font>
      <b/>
      <sz val="10"/>
      <color indexed="57"/>
      <name val="Arial"/>
      <family val="2"/>
    </font>
    <font>
      <u val="single"/>
      <sz val="10"/>
      <color indexed="12"/>
      <name val="Arial"/>
      <family val="0"/>
    </font>
    <font>
      <u val="single"/>
      <sz val="10"/>
      <color indexed="36"/>
      <name val="Arial"/>
      <family val="0"/>
    </font>
    <font>
      <b/>
      <u val="single"/>
      <sz val="10"/>
      <color indexed="12"/>
      <name val="Arial"/>
      <family val="2"/>
    </font>
    <font>
      <sz val="10"/>
      <color indexed="17"/>
      <name val="Arial"/>
      <family val="2"/>
    </font>
    <font>
      <b/>
      <sz val="14"/>
      <color indexed="10"/>
      <name val="Arial"/>
      <family val="2"/>
    </font>
    <font>
      <sz val="12"/>
      <name val="Arial"/>
      <family val="2"/>
    </font>
    <font>
      <b/>
      <sz val="10"/>
      <color indexed="49"/>
      <name val="Arial"/>
      <family val="2"/>
    </font>
    <font>
      <sz val="10"/>
      <color indexed="55"/>
      <name val="Arial"/>
      <family val="0"/>
    </font>
    <font>
      <b/>
      <sz val="12"/>
      <color indexed="55"/>
      <name val="Arial"/>
      <family val="0"/>
    </font>
    <font>
      <b/>
      <sz val="10"/>
      <color indexed="55"/>
      <name val="Arial"/>
      <family val="0"/>
    </font>
    <font>
      <vertAlign val="superscript"/>
      <sz val="10"/>
      <name val="Arial"/>
      <family val="2"/>
    </font>
    <font>
      <vertAlign val="subscript"/>
      <sz val="10"/>
      <name val="Arial"/>
      <family val="2"/>
    </font>
    <font>
      <i/>
      <sz val="10"/>
      <color indexed="55"/>
      <name val="Arial"/>
      <family val="0"/>
    </font>
    <font>
      <vertAlign val="subscript"/>
      <sz val="10"/>
      <color indexed="55"/>
      <name val="Arial"/>
      <family val="0"/>
    </font>
    <font>
      <vertAlign val="superscript"/>
      <sz val="10"/>
      <color indexed="55"/>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indexed="8"/>
      <name val="Arial"/>
      <family val="0"/>
    </font>
    <font>
      <b/>
      <sz val="14"/>
      <color indexed="15"/>
      <name val="Arial"/>
      <family val="0"/>
    </font>
    <font>
      <u val="single"/>
      <sz val="12"/>
      <color indexed="8"/>
      <name val="Arial"/>
      <family val="0"/>
    </font>
    <font>
      <sz val="20"/>
      <color indexed="8"/>
      <name val="Arial"/>
      <family val="0"/>
    </font>
    <font>
      <sz val="9.25"/>
      <color indexed="8"/>
      <name val="Arial"/>
      <family val="0"/>
    </font>
    <font>
      <sz val="10"/>
      <color indexed="8"/>
      <name val="Arial"/>
      <family val="0"/>
    </font>
    <font>
      <b/>
      <sz val="14"/>
      <color indexed="8"/>
      <name val="Arial"/>
      <family val="0"/>
    </font>
    <font>
      <b/>
      <sz val="12"/>
      <color indexed="8"/>
      <name val="Arial"/>
      <family val="0"/>
    </font>
    <font>
      <b/>
      <sz val="12"/>
      <color indexed="15"/>
      <name val="Arial"/>
      <family val="0"/>
    </font>
    <font>
      <sz val="20"/>
      <color indexed="8"/>
      <name val="Symbol"/>
      <family val="0"/>
    </font>
    <font>
      <sz val="20"/>
      <color indexed="8"/>
      <name val="Times New Roman"/>
      <family val="0"/>
    </font>
    <font>
      <sz val="18"/>
      <color indexed="8"/>
      <name val="Times New Roman"/>
      <family val="0"/>
    </font>
    <font>
      <sz val="24"/>
      <color indexed="8"/>
      <name val="Times New Roman"/>
      <family val="0"/>
    </font>
    <font>
      <sz val="9.5"/>
      <color indexed="8"/>
      <name val="Arial"/>
      <family val="0"/>
    </font>
    <font>
      <sz val="8.7"/>
      <color indexed="8"/>
      <name val="Arial"/>
      <family val="0"/>
    </font>
    <font>
      <b/>
      <sz val="10"/>
      <color indexed="8"/>
      <name val="Arial"/>
      <family val="0"/>
    </font>
    <font>
      <sz val="8.5"/>
      <color indexed="8"/>
      <name val="Arial"/>
      <family val="0"/>
    </font>
    <font>
      <sz val="11"/>
      <color indexed="8"/>
      <name val="Arial"/>
      <family val="0"/>
    </font>
    <font>
      <b/>
      <sz val="11"/>
      <color indexed="8"/>
      <name val="Arial"/>
      <family val="0"/>
    </font>
    <font>
      <sz val="22"/>
      <color indexed="8"/>
      <name val="Arial"/>
      <family val="0"/>
    </font>
    <font>
      <sz val="32"/>
      <color indexed="8"/>
      <name val="Symbol"/>
      <family val="0"/>
    </font>
    <font>
      <sz val="32"/>
      <color indexed="8"/>
      <name val="Arial"/>
      <family val="0"/>
    </font>
    <font>
      <sz val="18"/>
      <color indexed="8"/>
      <name val="Arial"/>
      <family val="0"/>
    </font>
    <font>
      <sz val="48"/>
      <color indexed="8"/>
      <name val="Symbol"/>
      <family val="0"/>
    </font>
    <font>
      <b/>
      <sz val="9.5"/>
      <color indexed="8"/>
      <name val="Arial"/>
      <family val="0"/>
    </font>
    <font>
      <sz val="14"/>
      <color indexed="8"/>
      <name val="Arial"/>
      <family val="0"/>
    </font>
    <font>
      <sz val="5.25"/>
      <color indexed="8"/>
      <name val="Arial"/>
      <family val="0"/>
    </font>
    <font>
      <sz val="5.25"/>
      <color indexed="9"/>
      <name val="Arial"/>
      <family val="0"/>
    </font>
    <font>
      <sz val="5.75"/>
      <color indexed="8"/>
      <name val="Arial"/>
      <family val="0"/>
    </font>
    <font>
      <sz val="5.75"/>
      <color indexed="9"/>
      <name val="Arial"/>
      <family val="0"/>
    </font>
    <font>
      <sz val="10.1"/>
      <color indexed="8"/>
      <name val="Arial"/>
      <family val="0"/>
    </font>
    <font>
      <sz val="14"/>
      <color indexed="15"/>
      <name val="Times New Roman"/>
      <family val="0"/>
    </font>
    <font>
      <sz val="14"/>
      <color indexed="9"/>
      <name val="Times New Roman"/>
      <family val="0"/>
    </font>
    <font>
      <sz val="12"/>
      <color indexed="10"/>
      <name val="Arial"/>
      <family val="0"/>
    </font>
    <font>
      <sz val="12"/>
      <color indexed="8"/>
      <name val="Times New Roman"/>
      <family val="0"/>
    </font>
    <font>
      <b/>
      <sz val="12"/>
      <color indexed="8"/>
      <name val="Times New Roman"/>
      <family val="0"/>
    </font>
    <font>
      <sz val="10"/>
      <color indexed="8"/>
      <name val="Times New Roman"/>
      <family val="0"/>
    </font>
    <font>
      <u val="single"/>
      <sz val="10"/>
      <color indexed="8"/>
      <name val="Times New Roman"/>
      <family val="0"/>
    </font>
    <font>
      <i/>
      <u val="single"/>
      <sz val="10"/>
      <color indexed="8"/>
      <name val="Times New Roman"/>
      <family val="0"/>
    </font>
    <font>
      <b/>
      <sz val="10"/>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1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ck"/>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2" fillId="2" borderId="0" applyNumberFormat="0" applyBorder="0" applyAlignment="0" applyProtection="0"/>
    <xf numFmtId="0" fontId="112" fillId="3" borderId="0" applyNumberFormat="0" applyBorder="0" applyAlignment="0" applyProtection="0"/>
    <xf numFmtId="0" fontId="112" fillId="4" borderId="0" applyNumberFormat="0" applyBorder="0" applyAlignment="0" applyProtection="0"/>
    <xf numFmtId="0" fontId="112" fillId="5" borderId="0" applyNumberFormat="0" applyBorder="0" applyAlignment="0" applyProtection="0"/>
    <xf numFmtId="0" fontId="112" fillId="6" borderId="0" applyNumberFormat="0" applyBorder="0" applyAlignment="0" applyProtection="0"/>
    <xf numFmtId="0" fontId="112" fillId="7" borderId="0" applyNumberFormat="0" applyBorder="0" applyAlignment="0" applyProtection="0"/>
    <xf numFmtId="0" fontId="112" fillId="8" borderId="0" applyNumberFormat="0" applyBorder="0" applyAlignment="0" applyProtection="0"/>
    <xf numFmtId="0" fontId="112" fillId="9" borderId="0" applyNumberFormat="0" applyBorder="0" applyAlignment="0" applyProtection="0"/>
    <xf numFmtId="0" fontId="112" fillId="10" borderId="0" applyNumberFormat="0" applyBorder="0" applyAlignment="0" applyProtection="0"/>
    <xf numFmtId="0" fontId="112" fillId="11" borderId="0" applyNumberFormat="0" applyBorder="0" applyAlignment="0" applyProtection="0"/>
    <xf numFmtId="0" fontId="112" fillId="12" borderId="0" applyNumberFormat="0" applyBorder="0" applyAlignment="0" applyProtection="0"/>
    <xf numFmtId="0" fontId="112"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41"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40"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422">
    <xf numFmtId="0" fontId="0" fillId="0" borderId="0" xfId="0" applyAlignment="1">
      <alignment/>
    </xf>
    <xf numFmtId="0" fontId="0" fillId="0" borderId="0" xfId="0" applyAlignment="1">
      <alignment horizontal="right"/>
    </xf>
    <xf numFmtId="0" fontId="0" fillId="0" borderId="0" xfId="0" applyAlignment="1" quotePrefix="1">
      <alignment/>
    </xf>
    <xf numFmtId="0" fontId="1" fillId="0" borderId="0" xfId="0" applyFont="1" applyAlignment="1">
      <alignment/>
    </xf>
    <xf numFmtId="0" fontId="3" fillId="0" borderId="0" xfId="0" applyFont="1" applyAlignment="1">
      <alignment/>
    </xf>
    <xf numFmtId="0" fontId="4" fillId="0" borderId="0" xfId="0" applyFont="1" applyBorder="1" applyAlignment="1">
      <alignment horizontal="center" textRotation="90" wrapText="1"/>
    </xf>
    <xf numFmtId="0" fontId="3" fillId="0" borderId="0" xfId="0" applyFont="1" applyBorder="1" applyAlignment="1">
      <alignment horizontal="center"/>
    </xf>
    <xf numFmtId="166" fontId="5" fillId="0" borderId="0" xfId="0" applyNumberFormat="1" applyFont="1" applyAlignment="1">
      <alignment horizontal="left"/>
    </xf>
    <xf numFmtId="165" fontId="5" fillId="0" borderId="0" xfId="0" applyNumberFormat="1" applyFont="1" applyAlignment="1">
      <alignment horizontal="left"/>
    </xf>
    <xf numFmtId="0" fontId="6" fillId="0" borderId="0" xfId="0" applyFont="1" applyAlignment="1">
      <alignment horizontal="right"/>
    </xf>
    <xf numFmtId="0" fontId="7" fillId="0" borderId="0" xfId="0" applyFont="1" applyAlignment="1">
      <alignment horizontal="right"/>
    </xf>
    <xf numFmtId="167" fontId="5" fillId="0" borderId="0" xfId="0" applyNumberFormat="1" applyFont="1" applyAlignment="1">
      <alignment horizontal="center"/>
    </xf>
    <xf numFmtId="167" fontId="3" fillId="0" borderId="0" xfId="0" applyNumberFormat="1" applyFont="1" applyAlignment="1">
      <alignment horizontal="center"/>
    </xf>
    <xf numFmtId="0" fontId="5" fillId="0" borderId="0" xfId="0" applyFont="1" applyAlignment="1">
      <alignment/>
    </xf>
    <xf numFmtId="0" fontId="8" fillId="0" borderId="0" xfId="0" applyFont="1" applyAlignment="1">
      <alignment horizontal="right"/>
    </xf>
    <xf numFmtId="0" fontId="0" fillId="33" borderId="10" xfId="0" applyFill="1" applyBorder="1" applyAlignment="1" applyProtection="1">
      <alignment/>
      <protection locked="0"/>
    </xf>
    <xf numFmtId="0" fontId="9" fillId="0" borderId="0" xfId="0" applyFont="1" applyAlignment="1">
      <alignment horizontal="right"/>
    </xf>
    <xf numFmtId="0" fontId="9" fillId="0" borderId="0" xfId="0" applyFont="1" applyAlignment="1">
      <alignment/>
    </xf>
    <xf numFmtId="0" fontId="9" fillId="0" borderId="0" xfId="0" applyFont="1" applyAlignment="1">
      <alignment/>
    </xf>
    <xf numFmtId="0" fontId="2" fillId="0" borderId="0" xfId="0" applyFont="1" applyAlignment="1">
      <alignment/>
    </xf>
    <xf numFmtId="0" fontId="11" fillId="0" borderId="0" xfId="0" applyFont="1" applyAlignment="1">
      <alignment/>
    </xf>
    <xf numFmtId="2" fontId="0" fillId="0" borderId="0" xfId="0" applyNumberFormat="1" applyAlignment="1">
      <alignment/>
    </xf>
    <xf numFmtId="2" fontId="10" fillId="0" borderId="0" xfId="0" applyNumberFormat="1" applyFont="1" applyAlignment="1">
      <alignment/>
    </xf>
    <xf numFmtId="0" fontId="12" fillId="0" borderId="0" xfId="0" applyFont="1" applyAlignment="1">
      <alignment/>
    </xf>
    <xf numFmtId="167" fontId="10" fillId="0" borderId="0" xfId="0" applyNumberFormat="1" applyFont="1" applyAlignment="1">
      <alignment/>
    </xf>
    <xf numFmtId="2" fontId="0" fillId="34" borderId="10" xfId="0" applyNumberFormat="1" applyFill="1" applyBorder="1" applyAlignment="1">
      <alignment/>
    </xf>
    <xf numFmtId="0" fontId="14" fillId="0" borderId="0" xfId="0" applyFont="1" applyBorder="1" applyAlignment="1">
      <alignment horizontal="center" textRotation="90"/>
    </xf>
    <xf numFmtId="0" fontId="14" fillId="0" borderId="0" xfId="0" applyFont="1" applyBorder="1" applyAlignment="1">
      <alignment horizontal="center" textRotation="90" wrapText="1"/>
    </xf>
    <xf numFmtId="0" fontId="15" fillId="0" borderId="10" xfId="0" applyFont="1" applyBorder="1" applyAlignment="1">
      <alignment horizontal="center"/>
    </xf>
    <xf numFmtId="0" fontId="15" fillId="0" borderId="0" xfId="0" applyFont="1" applyBorder="1" applyAlignment="1">
      <alignment horizontal="center"/>
    </xf>
    <xf numFmtId="0" fontId="15" fillId="33" borderId="10" xfId="0" applyFont="1" applyFill="1" applyBorder="1" applyAlignment="1" applyProtection="1">
      <alignment/>
      <protection locked="0"/>
    </xf>
    <xf numFmtId="164" fontId="15" fillId="35" borderId="10" xfId="0" applyNumberFormat="1" applyFont="1" applyFill="1" applyBorder="1" applyAlignment="1">
      <alignment/>
    </xf>
    <xf numFmtId="165" fontId="15" fillId="35" borderId="10" xfId="0" applyNumberFormat="1" applyFont="1" applyFill="1" applyBorder="1" applyAlignment="1">
      <alignment/>
    </xf>
    <xf numFmtId="165" fontId="16" fillId="35" borderId="10" xfId="0" applyNumberFormat="1" applyFont="1" applyFill="1" applyBorder="1" applyAlignment="1">
      <alignment/>
    </xf>
    <xf numFmtId="165" fontId="17" fillId="35" borderId="10" xfId="0" applyNumberFormat="1" applyFont="1" applyFill="1" applyBorder="1" applyAlignment="1">
      <alignment/>
    </xf>
    <xf numFmtId="0" fontId="15" fillId="35" borderId="10" xfId="0" applyFont="1" applyFill="1" applyBorder="1" applyAlignment="1">
      <alignment/>
    </xf>
    <xf numFmtId="0" fontId="19" fillId="0" borderId="0" xfId="0" applyFont="1" applyAlignment="1">
      <alignment/>
    </xf>
    <xf numFmtId="0" fontId="19" fillId="0" borderId="0" xfId="0" applyFont="1" applyAlignment="1">
      <alignment horizontal="right"/>
    </xf>
    <xf numFmtId="165" fontId="10" fillId="0" borderId="0" xfId="0" applyNumberFormat="1" applyFont="1" applyAlignment="1">
      <alignment/>
    </xf>
    <xf numFmtId="0" fontId="0" fillId="36" borderId="10" xfId="0" applyFill="1" applyBorder="1" applyAlignment="1" applyProtection="1">
      <alignment/>
      <protection/>
    </xf>
    <xf numFmtId="2" fontId="0" fillId="36" borderId="10" xfId="0" applyNumberFormat="1" applyFill="1" applyBorder="1" applyAlignment="1">
      <alignment/>
    </xf>
    <xf numFmtId="0" fontId="20" fillId="0" borderId="0" xfId="0" applyFont="1" applyFill="1" applyAlignment="1">
      <alignment horizontal="center"/>
    </xf>
    <xf numFmtId="0" fontId="12" fillId="0" borderId="0" xfId="0" applyFont="1" applyAlignment="1">
      <alignment horizontal="center"/>
    </xf>
    <xf numFmtId="2" fontId="10" fillId="0" borderId="0" xfId="0" applyNumberFormat="1" applyFont="1" applyAlignment="1">
      <alignment/>
    </xf>
    <xf numFmtId="0" fontId="10" fillId="0" borderId="0" xfId="0" applyFont="1" applyAlignment="1">
      <alignment/>
    </xf>
    <xf numFmtId="0" fontId="12" fillId="0" borderId="0" xfId="0" applyFont="1" applyAlignment="1" quotePrefix="1">
      <alignment horizontal="center"/>
    </xf>
    <xf numFmtId="1" fontId="0" fillId="0" borderId="0" xfId="0" applyNumberFormat="1" applyAlignment="1">
      <alignment/>
    </xf>
    <xf numFmtId="0" fontId="13" fillId="0" borderId="0" xfId="0" applyFont="1" applyAlignment="1" quotePrefix="1">
      <alignment/>
    </xf>
    <xf numFmtId="0" fontId="13" fillId="0" borderId="11" xfId="0" applyFont="1" applyBorder="1" applyAlignment="1">
      <alignment horizontal="left"/>
    </xf>
    <xf numFmtId="0" fontId="0" fillId="0" borderId="12" xfId="0" applyFont="1" applyBorder="1" applyAlignment="1">
      <alignment horizontal="left"/>
    </xf>
    <xf numFmtId="0" fontId="0" fillId="0" borderId="0" xfId="0" applyAlignment="1">
      <alignment horizontal="left" vertical="top" wrapText="1"/>
    </xf>
    <xf numFmtId="0" fontId="0" fillId="0" borderId="0" xfId="0" applyNumberFormat="1" applyAlignment="1">
      <alignment/>
    </xf>
    <xf numFmtId="0" fontId="27" fillId="0" borderId="0" xfId="0" applyFont="1" applyAlignment="1">
      <alignment horizontal="right"/>
    </xf>
    <xf numFmtId="0" fontId="20" fillId="0" borderId="0" xfId="0" applyNumberFormat="1" applyFont="1" applyFill="1" applyAlignment="1">
      <alignment horizontal="center"/>
    </xf>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0" fillId="37" borderId="10" xfId="0" applyFill="1" applyBorder="1" applyAlignment="1">
      <alignment/>
    </xf>
    <xf numFmtId="0" fontId="27" fillId="0" borderId="0" xfId="0" applyFont="1" applyAlignment="1">
      <alignment horizontal="left"/>
    </xf>
    <xf numFmtId="0" fontId="13" fillId="0" borderId="0" xfId="0" applyFont="1" applyAlignment="1">
      <alignment horizontal="left" vertical="top"/>
    </xf>
    <xf numFmtId="0" fontId="0" fillId="0" borderId="0" xfId="0" applyAlignment="1">
      <alignment vertical="top"/>
    </xf>
    <xf numFmtId="0" fontId="20" fillId="0" borderId="0" xfId="0" applyFont="1" applyFill="1" applyAlignment="1">
      <alignment horizontal="right"/>
    </xf>
    <xf numFmtId="0" fontId="0" fillId="0" borderId="0" xfId="0" applyAlignment="1">
      <alignment wrapText="1"/>
    </xf>
    <xf numFmtId="0" fontId="27" fillId="0" borderId="0" xfId="0" applyFont="1" applyAlignment="1">
      <alignment/>
    </xf>
    <xf numFmtId="0" fontId="27" fillId="0" borderId="0" xfId="0" applyFont="1" applyFill="1" applyBorder="1" applyAlignment="1">
      <alignment/>
    </xf>
    <xf numFmtId="164" fontId="10" fillId="0" borderId="0" xfId="0" applyNumberFormat="1" applyFont="1" applyFill="1" applyAlignment="1">
      <alignment/>
    </xf>
    <xf numFmtId="164" fontId="0" fillId="0" borderId="0" xfId="0" applyNumberFormat="1" applyAlignment="1">
      <alignment/>
    </xf>
    <xf numFmtId="164" fontId="10" fillId="0" borderId="0" xfId="0" applyNumberFormat="1" applyFont="1" applyAlignment="1">
      <alignment/>
    </xf>
    <xf numFmtId="2" fontId="12" fillId="0" borderId="0" xfId="0" applyNumberFormat="1" applyFont="1" applyAlignment="1">
      <alignment/>
    </xf>
    <xf numFmtId="2" fontId="10" fillId="0" borderId="0" xfId="0" applyNumberFormat="1" applyFont="1" applyFill="1" applyAlignment="1">
      <alignment/>
    </xf>
    <xf numFmtId="0" fontId="0" fillId="0" borderId="0" xfId="0" applyAlignment="1">
      <alignment horizontal="center"/>
    </xf>
    <xf numFmtId="0" fontId="28" fillId="0" borderId="0" xfId="0" applyFont="1" applyAlignment="1">
      <alignment/>
    </xf>
    <xf numFmtId="164" fontId="6" fillId="0" borderId="0" xfId="0" applyNumberFormat="1" applyFont="1" applyAlignment="1">
      <alignment/>
    </xf>
    <xf numFmtId="167" fontId="6" fillId="0" borderId="0" xfId="0" applyNumberFormat="1" applyFont="1" applyAlignment="1">
      <alignment/>
    </xf>
    <xf numFmtId="0" fontId="12" fillId="0" borderId="0" xfId="0" applyFont="1" applyAlignment="1">
      <alignment horizontal="left"/>
    </xf>
    <xf numFmtId="0" fontId="0" fillId="0" borderId="10" xfId="0" applyBorder="1" applyAlignment="1" applyProtection="1">
      <alignment/>
      <protection/>
    </xf>
    <xf numFmtId="0" fontId="18" fillId="0" borderId="11" xfId="0" applyFont="1" applyFill="1" applyBorder="1" applyAlignment="1" applyProtection="1">
      <alignment/>
      <protection/>
    </xf>
    <xf numFmtId="0" fontId="0" fillId="0" borderId="13" xfId="0" applyFill="1" applyBorder="1" applyAlignment="1" applyProtection="1">
      <alignment/>
      <protection/>
    </xf>
    <xf numFmtId="0" fontId="0" fillId="0" borderId="12" xfId="0" applyFill="1" applyBorder="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0" fontId="9" fillId="0" borderId="0" xfId="0" applyFont="1" applyAlignment="1" applyProtection="1">
      <alignment/>
      <protection/>
    </xf>
    <xf numFmtId="0" fontId="1" fillId="0" borderId="0" xfId="0" applyFont="1" applyAlignment="1" applyProtection="1">
      <alignment/>
      <protection/>
    </xf>
    <xf numFmtId="0" fontId="12" fillId="0" borderId="0" xfId="0" applyFont="1" applyAlignment="1" applyProtection="1" quotePrefix="1">
      <alignment/>
      <protection/>
    </xf>
    <xf numFmtId="0" fontId="12" fillId="0" borderId="0" xfId="0" applyFont="1" applyAlignment="1" applyProtection="1">
      <alignment/>
      <protection/>
    </xf>
    <xf numFmtId="2" fontId="0" fillId="34" borderId="10" xfId="0" applyNumberFormat="1" applyFill="1" applyBorder="1" applyAlignment="1" applyProtection="1">
      <alignment/>
      <protection/>
    </xf>
    <xf numFmtId="0" fontId="0" fillId="0" borderId="0" xfId="0" applyAlignment="1" applyProtection="1">
      <alignment horizontal="right"/>
      <protection/>
    </xf>
    <xf numFmtId="0" fontId="0" fillId="0" borderId="0" xfId="0" applyAlignment="1" applyProtection="1" quotePrefix="1">
      <alignment horizontal="right"/>
      <protection/>
    </xf>
    <xf numFmtId="0" fontId="9" fillId="0" borderId="0" xfId="0" applyFont="1" applyAlignment="1" applyProtection="1">
      <alignment/>
      <protection/>
    </xf>
    <xf numFmtId="0" fontId="0" fillId="33" borderId="10" xfId="0" applyFill="1" applyBorder="1" applyAlignment="1" applyProtection="1">
      <alignment/>
      <protection/>
    </xf>
    <xf numFmtId="0" fontId="9" fillId="0" borderId="0" xfId="0" applyFont="1" applyAlignment="1" applyProtection="1">
      <alignment horizontal="right"/>
      <protection/>
    </xf>
    <xf numFmtId="167" fontId="10" fillId="0" borderId="0" xfId="0" applyNumberFormat="1" applyFont="1" applyAlignment="1" applyProtection="1">
      <alignment/>
      <protection/>
    </xf>
    <xf numFmtId="0" fontId="9" fillId="0" borderId="0" xfId="0" applyFont="1" applyAlignment="1" applyProtection="1">
      <alignment horizontal="right"/>
      <protection/>
    </xf>
    <xf numFmtId="168" fontId="10" fillId="0" borderId="0" xfId="0" applyNumberFormat="1" applyFont="1" applyAlignment="1" applyProtection="1">
      <alignment/>
      <protection/>
    </xf>
    <xf numFmtId="0" fontId="2" fillId="0" borderId="0" xfId="0" applyFont="1" applyAlignment="1" applyProtection="1">
      <alignment/>
      <protection/>
    </xf>
    <xf numFmtId="166" fontId="10" fillId="0" borderId="0" xfId="0" applyNumberFormat="1" applyFont="1" applyAlignment="1" applyProtection="1">
      <alignment/>
      <protection/>
    </xf>
    <xf numFmtId="0" fontId="0" fillId="35" borderId="0" xfId="0" applyFill="1" applyAlignment="1">
      <alignment/>
    </xf>
    <xf numFmtId="0" fontId="0" fillId="0" borderId="0" xfId="0" applyFill="1" applyAlignment="1">
      <alignment/>
    </xf>
    <xf numFmtId="2" fontId="12" fillId="0" borderId="0" xfId="0" applyNumberFormat="1" applyFont="1" applyAlignment="1">
      <alignment horizontal="center"/>
    </xf>
    <xf numFmtId="0" fontId="12" fillId="35" borderId="0" xfId="0" applyFont="1" applyFill="1" applyAlignment="1">
      <alignment/>
    </xf>
    <xf numFmtId="0" fontId="0" fillId="38" borderId="10" xfId="0" applyFill="1" applyBorder="1" applyAlignment="1" applyProtection="1">
      <alignment horizontal="center"/>
      <protection locked="0"/>
    </xf>
    <xf numFmtId="0" fontId="10" fillId="0" borderId="0" xfId="0" applyFont="1" applyAlignment="1">
      <alignment horizontal="center"/>
    </xf>
    <xf numFmtId="2" fontId="10" fillId="0" borderId="0" xfId="0" applyNumberFormat="1" applyFont="1" applyAlignment="1">
      <alignment horizontal="center"/>
    </xf>
    <xf numFmtId="0" fontId="0" fillId="35" borderId="0" xfId="0" applyFill="1" applyAlignment="1">
      <alignment horizontal="center"/>
    </xf>
    <xf numFmtId="0" fontId="32" fillId="0" borderId="0" xfId="0" applyFont="1" applyAlignment="1" applyProtection="1" quotePrefix="1">
      <alignment horizontal="center"/>
      <protection hidden="1"/>
    </xf>
    <xf numFmtId="0" fontId="33" fillId="0" borderId="0" xfId="0" applyFont="1" applyAlignment="1" applyProtection="1">
      <alignment horizontal="center"/>
      <protection hidden="1"/>
    </xf>
    <xf numFmtId="167" fontId="33" fillId="0" borderId="0" xfId="0" applyNumberFormat="1" applyFont="1" applyAlignment="1" applyProtection="1">
      <alignment horizontal="center"/>
      <protection hidden="1"/>
    </xf>
    <xf numFmtId="0" fontId="34" fillId="0" borderId="0" xfId="0" applyFont="1" applyAlignment="1">
      <alignment/>
    </xf>
    <xf numFmtId="166" fontId="10" fillId="0" borderId="0" xfId="0" applyNumberFormat="1" applyFont="1" applyAlignment="1">
      <alignment/>
    </xf>
    <xf numFmtId="0" fontId="0" fillId="38" borderId="10" xfId="0" applyFill="1" applyBorder="1" applyAlignment="1" applyProtection="1">
      <alignment/>
      <protection locked="0"/>
    </xf>
    <xf numFmtId="0" fontId="0" fillId="38" borderId="14" xfId="0" applyFill="1" applyBorder="1" applyAlignment="1" applyProtection="1">
      <alignment/>
      <protection locked="0"/>
    </xf>
    <xf numFmtId="0" fontId="35" fillId="0" borderId="0" xfId="0" applyFont="1" applyAlignment="1">
      <alignment/>
    </xf>
    <xf numFmtId="167" fontId="36" fillId="0" borderId="0" xfId="0" applyNumberFormat="1" applyFont="1" applyAlignment="1" applyProtection="1">
      <alignment horizontal="center"/>
      <protection hidden="1"/>
    </xf>
    <xf numFmtId="0" fontId="22" fillId="38" borderId="10" xfId="0" applyFont="1" applyFill="1" applyBorder="1" applyAlignment="1" applyProtection="1">
      <alignment/>
      <protection locked="0"/>
    </xf>
    <xf numFmtId="0" fontId="23" fillId="0" borderId="0" xfId="0" applyFont="1" applyAlignment="1" applyProtection="1">
      <alignment/>
      <protection/>
    </xf>
    <xf numFmtId="0" fontId="21" fillId="0" borderId="0" xfId="0" applyFont="1" applyAlignment="1" applyProtection="1">
      <alignment/>
      <protection/>
    </xf>
    <xf numFmtId="0" fontId="22" fillId="0" borderId="0" xfId="0" applyFont="1" applyAlignment="1" applyProtection="1">
      <alignment/>
      <protection/>
    </xf>
    <xf numFmtId="0" fontId="37" fillId="0" borderId="0" xfId="0" applyFont="1" applyAlignment="1" applyProtection="1">
      <alignment/>
      <protection/>
    </xf>
    <xf numFmtId="0" fontId="24" fillId="0" borderId="0" xfId="0" applyFont="1" applyAlignment="1" applyProtection="1">
      <alignment horizontal="right"/>
      <protection/>
    </xf>
    <xf numFmtId="0" fontId="25" fillId="0" borderId="0" xfId="0" applyFont="1" applyAlignment="1" applyProtection="1">
      <alignment/>
      <protection/>
    </xf>
    <xf numFmtId="9" fontId="22" fillId="34" borderId="10" xfId="0" applyNumberFormat="1" applyFont="1" applyFill="1" applyBorder="1" applyAlignment="1" applyProtection="1">
      <alignment/>
      <protection/>
    </xf>
    <xf numFmtId="2" fontId="22" fillId="0" borderId="0" xfId="0" applyNumberFormat="1" applyFont="1" applyAlignment="1" applyProtection="1">
      <alignment/>
      <protection/>
    </xf>
    <xf numFmtId="2" fontId="22" fillId="34" borderId="10" xfId="0" applyNumberFormat="1" applyFont="1" applyFill="1" applyBorder="1" applyAlignment="1" applyProtection="1">
      <alignment/>
      <protection/>
    </xf>
    <xf numFmtId="1" fontId="0" fillId="0" borderId="15" xfId="0" applyNumberFormat="1" applyBorder="1" applyAlignment="1" applyProtection="1">
      <alignment/>
      <protection/>
    </xf>
    <xf numFmtId="1" fontId="0" fillId="0" borderId="16" xfId="0" applyNumberFormat="1" applyBorder="1" applyAlignment="1" applyProtection="1">
      <alignment/>
      <protection/>
    </xf>
    <xf numFmtId="1" fontId="0" fillId="0" borderId="17" xfId="0" applyNumberFormat="1" applyBorder="1" applyAlignment="1" applyProtection="1">
      <alignment/>
      <protection/>
    </xf>
    <xf numFmtId="1" fontId="0" fillId="0" borderId="18" xfId="0" applyNumberFormat="1" applyBorder="1" applyAlignment="1" applyProtection="1">
      <alignment/>
      <protection/>
    </xf>
    <xf numFmtId="1" fontId="26" fillId="0" borderId="10" xfId="0" applyNumberFormat="1" applyFont="1" applyBorder="1" applyAlignment="1" applyProtection="1">
      <alignment/>
      <protection/>
    </xf>
    <xf numFmtId="1" fontId="0" fillId="0" borderId="19" xfId="0" applyNumberFormat="1" applyBorder="1" applyAlignment="1" applyProtection="1">
      <alignment/>
      <protection/>
    </xf>
    <xf numFmtId="1" fontId="0" fillId="0" borderId="0" xfId="0" applyNumberFormat="1" applyBorder="1" applyAlignment="1" applyProtection="1">
      <alignment/>
      <protection/>
    </xf>
    <xf numFmtId="1" fontId="0" fillId="0" borderId="20" xfId="0" applyNumberFormat="1" applyBorder="1" applyAlignment="1" applyProtection="1">
      <alignment/>
      <protection/>
    </xf>
    <xf numFmtId="1" fontId="0" fillId="0" borderId="21" xfId="0" applyNumberFormat="1" applyBorder="1" applyAlignment="1" applyProtection="1">
      <alignment/>
      <protection/>
    </xf>
    <xf numFmtId="1" fontId="0" fillId="0" borderId="22" xfId="0" applyNumberFormat="1" applyBorder="1" applyAlignment="1" applyProtection="1">
      <alignment/>
      <protection/>
    </xf>
    <xf numFmtId="0" fontId="0" fillId="35" borderId="0" xfId="0" applyFill="1" applyAlignment="1" applyProtection="1" quotePrefix="1">
      <alignment/>
      <protection/>
    </xf>
    <xf numFmtId="0" fontId="0" fillId="35" borderId="0" xfId="0" applyFill="1" applyAlignment="1" applyProtection="1">
      <alignment/>
      <protection/>
    </xf>
    <xf numFmtId="1" fontId="0" fillId="35" borderId="0" xfId="0" applyNumberFormat="1" applyFill="1" applyAlignment="1" applyProtection="1">
      <alignment/>
      <protection/>
    </xf>
    <xf numFmtId="0" fontId="0" fillId="38" borderId="10" xfId="0" applyFill="1" applyBorder="1" applyAlignment="1" applyProtection="1">
      <alignment/>
      <protection locked="0"/>
    </xf>
    <xf numFmtId="0" fontId="0" fillId="39" borderId="0" xfId="0" applyFill="1" applyAlignment="1">
      <alignment horizontal="center"/>
    </xf>
    <xf numFmtId="0" fontId="0" fillId="0" borderId="0" xfId="0" applyAlignment="1" quotePrefix="1">
      <alignment horizontal="center"/>
    </xf>
    <xf numFmtId="0" fontId="20" fillId="0" borderId="0" xfId="0" applyFont="1" applyAlignment="1">
      <alignment/>
    </xf>
    <xf numFmtId="0" fontId="12" fillId="0" borderId="0" xfId="0" applyFont="1" applyAlignment="1">
      <alignment horizontal="right"/>
    </xf>
    <xf numFmtId="0" fontId="38" fillId="0" borderId="0" xfId="0" applyFont="1" applyAlignment="1" applyProtection="1" quotePrefix="1">
      <alignment horizontal="center"/>
      <protection hidden="1"/>
    </xf>
    <xf numFmtId="0" fontId="35" fillId="0" borderId="0" xfId="0" applyFont="1" applyAlignment="1" applyProtection="1">
      <alignment horizontal="center"/>
      <protection hidden="1"/>
    </xf>
    <xf numFmtId="167" fontId="35" fillId="0" borderId="0" xfId="0" applyNumberFormat="1" applyFont="1" applyAlignment="1" applyProtection="1">
      <alignment horizontal="center"/>
      <protection hidden="1"/>
    </xf>
    <xf numFmtId="174" fontId="12" fillId="0" borderId="0" xfId="0" applyNumberFormat="1" applyFont="1" applyAlignment="1">
      <alignment/>
    </xf>
    <xf numFmtId="175" fontId="12" fillId="0" borderId="0" xfId="0" applyNumberFormat="1" applyFont="1" applyAlignment="1">
      <alignment/>
    </xf>
    <xf numFmtId="174" fontId="0" fillId="0" borderId="0" xfId="0" applyNumberFormat="1" applyFont="1" applyAlignment="1">
      <alignment/>
    </xf>
    <xf numFmtId="175" fontId="0" fillId="0" borderId="0" xfId="0" applyNumberFormat="1" applyFont="1" applyAlignment="1">
      <alignment/>
    </xf>
    <xf numFmtId="14" fontId="10" fillId="0" borderId="0" xfId="0" applyNumberFormat="1" applyFont="1" applyAlignment="1">
      <alignment/>
    </xf>
    <xf numFmtId="1" fontId="10" fillId="0" borderId="0" xfId="0" applyNumberFormat="1" applyFont="1" applyAlignment="1">
      <alignment/>
    </xf>
    <xf numFmtId="16" fontId="39" fillId="0" borderId="0" xfId="0" applyNumberFormat="1" applyFont="1" applyAlignment="1">
      <alignment/>
    </xf>
    <xf numFmtId="1" fontId="0" fillId="0" borderId="0" xfId="0" applyNumberFormat="1" applyFont="1" applyAlignment="1">
      <alignment/>
    </xf>
    <xf numFmtId="16" fontId="0" fillId="0" borderId="0" xfId="0" applyNumberFormat="1" applyAlignment="1">
      <alignment/>
    </xf>
    <xf numFmtId="174" fontId="0" fillId="38" borderId="10" xfId="0" applyNumberFormat="1" applyFont="1" applyFill="1" applyBorder="1" applyAlignment="1">
      <alignment/>
    </xf>
    <xf numFmtId="174" fontId="10" fillId="0" borderId="0" xfId="0" applyNumberFormat="1" applyFont="1" applyAlignment="1">
      <alignment/>
    </xf>
    <xf numFmtId="174" fontId="10" fillId="38" borderId="10" xfId="0" applyNumberFormat="1" applyFont="1" applyFill="1" applyBorder="1" applyAlignment="1">
      <alignment/>
    </xf>
    <xf numFmtId="174" fontId="0" fillId="0" borderId="0" xfId="0" applyNumberFormat="1" applyAlignment="1">
      <alignment/>
    </xf>
    <xf numFmtId="174" fontId="39" fillId="38" borderId="10" xfId="0" applyNumberFormat="1" applyFont="1" applyFill="1" applyBorder="1" applyAlignment="1">
      <alignment/>
    </xf>
    <xf numFmtId="174" fontId="0" fillId="38" borderId="10" xfId="0" applyNumberFormat="1" applyFill="1" applyBorder="1" applyAlignment="1">
      <alignment/>
    </xf>
    <xf numFmtId="175" fontId="0" fillId="0" borderId="0" xfId="0" applyNumberFormat="1" applyAlignment="1">
      <alignment/>
    </xf>
    <xf numFmtId="0" fontId="0" fillId="0" borderId="0" xfId="0" applyFont="1" applyAlignment="1">
      <alignment/>
    </xf>
    <xf numFmtId="0" fontId="42" fillId="0" borderId="0" xfId="0" applyFont="1" applyAlignment="1">
      <alignment/>
    </xf>
    <xf numFmtId="0" fontId="34" fillId="0" borderId="23" xfId="0" applyFont="1" applyFill="1" applyBorder="1" applyAlignment="1">
      <alignment horizontal="center"/>
    </xf>
    <xf numFmtId="0" fontId="0" fillId="0" borderId="0" xfId="0" applyFill="1" applyBorder="1" applyAlignment="1">
      <alignment/>
    </xf>
    <xf numFmtId="0" fontId="0" fillId="0" borderId="24" xfId="0" applyFill="1" applyBorder="1" applyAlignment="1">
      <alignment/>
    </xf>
    <xf numFmtId="0" fontId="40" fillId="0" borderId="0" xfId="53" applyAlignment="1" applyProtection="1">
      <alignment/>
      <protection/>
    </xf>
    <xf numFmtId="0" fontId="40" fillId="0" borderId="0" xfId="53" applyFont="1" applyAlignment="1" applyProtection="1">
      <alignment/>
      <protection/>
    </xf>
    <xf numFmtId="0" fontId="2" fillId="0" borderId="0" xfId="0" applyFont="1" applyAlignment="1">
      <alignment/>
    </xf>
    <xf numFmtId="0" fontId="40" fillId="0" borderId="0" xfId="53" applyAlignment="1" applyProtection="1">
      <alignment horizontal="center"/>
      <protection/>
    </xf>
    <xf numFmtId="1" fontId="0" fillId="38" borderId="10" xfId="0" applyNumberFormat="1" applyFill="1" applyBorder="1" applyAlignment="1" applyProtection="1">
      <alignment/>
      <protection locked="0"/>
    </xf>
    <xf numFmtId="0" fontId="0" fillId="40" borderId="10" xfId="0" applyFont="1" applyFill="1" applyBorder="1" applyAlignment="1" applyProtection="1">
      <alignment/>
      <protection locked="0"/>
    </xf>
    <xf numFmtId="0" fontId="40" fillId="0" borderId="0" xfId="53" applyFont="1" applyAlignment="1" applyProtection="1">
      <alignment horizontal="center"/>
      <protection/>
    </xf>
    <xf numFmtId="0" fontId="0" fillId="40" borderId="10" xfId="0" applyFill="1" applyBorder="1" applyAlignment="1" applyProtection="1">
      <alignment/>
      <protection locked="0"/>
    </xf>
    <xf numFmtId="0" fontId="0" fillId="40" borderId="25" xfId="0" applyFill="1" applyBorder="1" applyAlignment="1" applyProtection="1">
      <alignment/>
      <protection locked="0"/>
    </xf>
    <xf numFmtId="168" fontId="0" fillId="0" borderId="0" xfId="0" applyNumberFormat="1" applyAlignment="1">
      <alignment/>
    </xf>
    <xf numFmtId="176" fontId="0" fillId="0" borderId="0" xfId="0" applyNumberFormat="1" applyAlignment="1">
      <alignment/>
    </xf>
    <xf numFmtId="2" fontId="0" fillId="40" borderId="10" xfId="0" applyNumberFormat="1" applyFill="1" applyBorder="1" applyAlignment="1" applyProtection="1">
      <alignment/>
      <protection locked="0"/>
    </xf>
    <xf numFmtId="168" fontId="10" fillId="0" borderId="10" xfId="0" applyNumberFormat="1" applyFont="1" applyFill="1" applyBorder="1" applyAlignment="1">
      <alignment/>
    </xf>
    <xf numFmtId="2" fontId="0" fillId="40" borderId="10" xfId="0" applyNumberFormat="1" applyFill="1" applyBorder="1" applyAlignment="1" applyProtection="1">
      <alignment/>
      <protection/>
    </xf>
    <xf numFmtId="0" fontId="0" fillId="40" borderId="25" xfId="0" applyFill="1" applyBorder="1" applyAlignment="1" applyProtection="1">
      <alignment/>
      <protection/>
    </xf>
    <xf numFmtId="0" fontId="0" fillId="40" borderId="10" xfId="0" applyFill="1" applyBorder="1" applyAlignment="1" applyProtection="1">
      <alignment/>
      <protection/>
    </xf>
    <xf numFmtId="0" fontId="44" fillId="0" borderId="0" xfId="0" applyFont="1" applyAlignment="1">
      <alignment/>
    </xf>
    <xf numFmtId="168" fontId="10" fillId="0" borderId="0" xfId="0" applyNumberFormat="1" applyFont="1" applyAlignment="1">
      <alignment/>
    </xf>
    <xf numFmtId="168" fontId="10" fillId="0" borderId="0" xfId="0" applyNumberFormat="1" applyFont="1" applyFill="1" applyBorder="1" applyAlignment="1">
      <alignment/>
    </xf>
    <xf numFmtId="0" fontId="19" fillId="0" borderId="0" xfId="0" applyFont="1" applyFill="1" applyBorder="1" applyAlignment="1">
      <alignment wrapText="1"/>
    </xf>
    <xf numFmtId="168" fontId="0" fillId="40" borderId="10" xfId="0" applyNumberFormat="1" applyFill="1" applyBorder="1" applyAlignment="1" applyProtection="1">
      <alignment/>
      <protection locked="0"/>
    </xf>
    <xf numFmtId="164" fontId="0" fillId="0" borderId="25" xfId="0" applyNumberFormat="1" applyFont="1" applyFill="1" applyBorder="1" applyAlignment="1" applyProtection="1">
      <alignment/>
      <protection/>
    </xf>
    <xf numFmtId="0" fontId="0" fillId="0" borderId="0" xfId="0" applyFill="1" applyBorder="1" applyAlignment="1">
      <alignment horizontal="left" vertical="center" wrapText="1"/>
    </xf>
    <xf numFmtId="0" fontId="0" fillId="0" borderId="0" xfId="0" applyFill="1" applyAlignment="1">
      <alignment/>
    </xf>
    <xf numFmtId="1" fontId="0" fillId="40" borderId="10" xfId="0" applyNumberFormat="1" applyFill="1" applyBorder="1" applyAlignment="1" applyProtection="1">
      <alignment/>
      <protection locked="0"/>
    </xf>
    <xf numFmtId="168" fontId="10" fillId="0" borderId="0" xfId="0" applyNumberFormat="1" applyFont="1" applyFill="1" applyBorder="1" applyAlignment="1">
      <alignment/>
    </xf>
    <xf numFmtId="168" fontId="0" fillId="0" borderId="0" xfId="0" applyNumberFormat="1" applyFill="1" applyBorder="1" applyAlignment="1">
      <alignment/>
    </xf>
    <xf numFmtId="0" fontId="19" fillId="0" borderId="0" xfId="0" applyFont="1" applyFill="1" applyBorder="1" applyAlignment="1">
      <alignment/>
    </xf>
    <xf numFmtId="167" fontId="0" fillId="0" borderId="0" xfId="0" applyNumberFormat="1" applyAlignment="1">
      <alignment/>
    </xf>
    <xf numFmtId="0" fontId="0" fillId="0" borderId="0" xfId="0" applyBorder="1" applyAlignment="1">
      <alignment/>
    </xf>
    <xf numFmtId="0" fontId="12" fillId="0" borderId="0" xfId="0" applyFont="1" applyBorder="1" applyAlignment="1">
      <alignment horizontal="center"/>
    </xf>
    <xf numFmtId="0" fontId="12" fillId="0" borderId="0" xfId="0" applyFont="1" applyFill="1" applyBorder="1" applyAlignment="1">
      <alignment horizontal="center" vertical="center"/>
    </xf>
    <xf numFmtId="0" fontId="10"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xf>
    <xf numFmtId="2" fontId="0" fillId="0" borderId="0" xfId="0" applyNumberFormat="1" applyFill="1" applyBorder="1" applyAlignment="1" applyProtection="1">
      <alignment/>
      <protection/>
    </xf>
    <xf numFmtId="0" fontId="0" fillId="0" borderId="0" xfId="0" applyFill="1" applyBorder="1" applyAlignment="1" applyProtection="1">
      <alignment/>
      <protection/>
    </xf>
    <xf numFmtId="176"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Alignment="1">
      <alignment/>
    </xf>
    <xf numFmtId="167" fontId="0" fillId="0" borderId="0" xfId="0" applyNumberFormat="1" applyFill="1" applyAlignment="1">
      <alignment/>
    </xf>
    <xf numFmtId="0" fontId="12" fillId="0" borderId="0" xfId="0" applyFont="1" applyBorder="1" applyAlignment="1">
      <alignment horizontal="center" wrapText="1"/>
    </xf>
    <xf numFmtId="176" fontId="0" fillId="0" borderId="0" xfId="0" applyNumberFormat="1" applyAlignment="1">
      <alignment horizontal="center"/>
    </xf>
    <xf numFmtId="0" fontId="0" fillId="41" borderId="10" xfId="0" applyFill="1" applyBorder="1" applyAlignment="1">
      <alignment horizontal="center"/>
    </xf>
    <xf numFmtId="164" fontId="0" fillId="41" borderId="10" xfId="0" applyNumberFormat="1" applyFill="1" applyBorder="1" applyAlignment="1">
      <alignment/>
    </xf>
    <xf numFmtId="176" fontId="12" fillId="0" borderId="0" xfId="0" applyNumberFormat="1" applyFont="1" applyAlignment="1">
      <alignment/>
    </xf>
    <xf numFmtId="1" fontId="10" fillId="0" borderId="0" xfId="0" applyNumberFormat="1" applyFont="1" applyFill="1" applyBorder="1" applyAlignment="1">
      <alignment/>
    </xf>
    <xf numFmtId="0" fontId="19" fillId="0" borderId="0" xfId="0" applyFont="1" applyFill="1" applyBorder="1" applyAlignment="1">
      <alignment horizontal="right"/>
    </xf>
    <xf numFmtId="0" fontId="0" fillId="0" borderId="0" xfId="0" applyFill="1" applyBorder="1" applyAlignment="1">
      <alignment horizontal="right"/>
    </xf>
    <xf numFmtId="0" fontId="31" fillId="0" borderId="0" xfId="0" applyFont="1" applyFill="1" applyBorder="1" applyAlignment="1">
      <alignment wrapText="1"/>
    </xf>
    <xf numFmtId="0" fontId="0" fillId="0" borderId="0" xfId="0" applyBorder="1" applyAlignment="1">
      <alignment/>
    </xf>
    <xf numFmtId="0" fontId="0" fillId="0" borderId="0" xfId="0" applyBorder="1" applyAlignment="1">
      <alignment horizontal="left" vertical="center" wrapText="1"/>
    </xf>
    <xf numFmtId="0" fontId="0" fillId="0" borderId="0" xfId="0" applyFill="1" applyBorder="1" applyAlignment="1">
      <alignment horizontal="left" vertical="center"/>
    </xf>
    <xf numFmtId="0" fontId="31" fillId="0" borderId="16" xfId="0" applyFont="1" applyFill="1" applyBorder="1" applyAlignment="1">
      <alignment wrapText="1"/>
    </xf>
    <xf numFmtId="0" fontId="42" fillId="0" borderId="0" xfId="53" applyFont="1" applyAlignment="1" applyProtection="1">
      <alignment horizontal="center"/>
      <protection/>
    </xf>
    <xf numFmtId="0" fontId="12" fillId="0" borderId="0" xfId="0" applyFont="1" applyAlignment="1" quotePrefix="1">
      <alignment/>
    </xf>
    <xf numFmtId="164" fontId="12" fillId="0" borderId="0" xfId="0" applyNumberFormat="1" applyFont="1" applyAlignment="1">
      <alignment/>
    </xf>
    <xf numFmtId="168" fontId="0" fillId="40" borderId="10" xfId="0" applyNumberFormat="1" applyFill="1" applyBorder="1" applyAlignment="1" applyProtection="1">
      <alignment/>
      <protection/>
    </xf>
    <xf numFmtId="1" fontId="0" fillId="40" borderId="10" xfId="0" applyNumberFormat="1" applyFill="1" applyBorder="1" applyAlignment="1" applyProtection="1">
      <alignment/>
      <protection/>
    </xf>
    <xf numFmtId="164" fontId="0" fillId="42" borderId="25" xfId="0" applyNumberFormat="1" applyFont="1" applyFill="1" applyBorder="1" applyAlignment="1" applyProtection="1">
      <alignment/>
      <protection/>
    </xf>
    <xf numFmtId="0" fontId="39" fillId="0" borderId="0" xfId="0" applyFont="1" applyAlignment="1">
      <alignment horizontal="center"/>
    </xf>
    <xf numFmtId="164" fontId="0" fillId="0" borderId="0" xfId="0" applyNumberFormat="1" applyFont="1" applyAlignment="1">
      <alignment/>
    </xf>
    <xf numFmtId="0" fontId="10" fillId="0" borderId="0" xfId="0" applyFont="1" applyAlignment="1">
      <alignment horizontal="right"/>
    </xf>
    <xf numFmtId="0" fontId="0" fillId="34" borderId="0" xfId="0" applyFill="1" applyAlignment="1">
      <alignment/>
    </xf>
    <xf numFmtId="0" fontId="34" fillId="34" borderId="23" xfId="0" applyFont="1" applyFill="1" applyBorder="1" applyAlignment="1">
      <alignment horizontal="center"/>
    </xf>
    <xf numFmtId="0" fontId="0" fillId="34" borderId="0" xfId="0" applyFill="1" applyBorder="1" applyAlignment="1">
      <alignment/>
    </xf>
    <xf numFmtId="0" fontId="0" fillId="34" borderId="24" xfId="0" applyFill="1" applyBorder="1" applyAlignment="1">
      <alignment/>
    </xf>
    <xf numFmtId="0" fontId="0" fillId="0" borderId="0" xfId="0" applyFont="1" applyFill="1" applyAlignment="1">
      <alignment/>
    </xf>
    <xf numFmtId="0" fontId="0" fillId="0" borderId="0" xfId="0" applyFill="1" applyBorder="1" applyAlignment="1">
      <alignment/>
    </xf>
    <xf numFmtId="0" fontId="3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0" fillId="0" borderId="0" xfId="53" applyFill="1" applyAlignment="1" applyProtection="1">
      <alignment/>
      <protection/>
    </xf>
    <xf numFmtId="0" fontId="27" fillId="0" borderId="0" xfId="0" applyFont="1" applyAlignment="1" quotePrefix="1">
      <alignment/>
    </xf>
    <xf numFmtId="0" fontId="46" fillId="0" borderId="0" xfId="0" applyFont="1" applyAlignment="1">
      <alignment/>
    </xf>
    <xf numFmtId="0" fontId="0" fillId="40" borderId="0" xfId="0" applyFill="1" applyAlignment="1">
      <alignment horizontal="center" vertical="center" wrapText="1"/>
    </xf>
    <xf numFmtId="0" fontId="31" fillId="40" borderId="0" xfId="0" applyFont="1" applyFill="1" applyAlignment="1">
      <alignment horizontal="center" vertical="center" wrapText="1"/>
    </xf>
    <xf numFmtId="0" fontId="0" fillId="0" borderId="10" xfId="0" applyFill="1" applyBorder="1" applyAlignment="1">
      <alignment/>
    </xf>
    <xf numFmtId="167" fontId="38" fillId="0" borderId="0" xfId="0" applyNumberFormat="1" applyFont="1" applyAlignment="1">
      <alignment/>
    </xf>
    <xf numFmtId="0" fontId="35" fillId="0" borderId="0" xfId="0" applyFont="1" applyAlignment="1">
      <alignment/>
    </xf>
    <xf numFmtId="0" fontId="35" fillId="0" borderId="0" xfId="0" applyFont="1" applyAlignment="1" quotePrefix="1">
      <alignment/>
    </xf>
    <xf numFmtId="0" fontId="10" fillId="0" borderId="10" xfId="0" applyFont="1" applyBorder="1" applyAlignment="1">
      <alignment/>
    </xf>
    <xf numFmtId="0" fontId="3" fillId="40" borderId="0" xfId="0" applyFont="1" applyFill="1" applyAlignment="1">
      <alignment horizontal="center" vertical="center" wrapText="1"/>
    </xf>
    <xf numFmtId="0" fontId="0" fillId="0" borderId="11" xfId="0" applyFont="1" applyBorder="1" applyAlignment="1">
      <alignment horizontal="left"/>
    </xf>
    <xf numFmtId="0" fontId="0" fillId="0" borderId="12" xfId="0" applyFont="1" applyBorder="1" applyAlignment="1">
      <alignment horizontal="right"/>
    </xf>
    <xf numFmtId="0" fontId="33" fillId="0" borderId="0" xfId="0" applyFont="1" applyBorder="1" applyAlignment="1">
      <alignment/>
    </xf>
    <xf numFmtId="0" fontId="29" fillId="0" borderId="0" xfId="0" applyFont="1" applyAlignment="1">
      <alignment/>
    </xf>
    <xf numFmtId="0" fontId="0" fillId="0" borderId="0" xfId="0" applyFill="1" applyBorder="1" applyAlignment="1" applyProtection="1">
      <alignment/>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2" fontId="47" fillId="34" borderId="10" xfId="0" applyNumberFormat="1" applyFont="1" applyFill="1" applyBorder="1" applyAlignment="1">
      <alignment/>
    </xf>
    <xf numFmtId="2" fontId="47" fillId="0" borderId="0" xfId="0" applyNumberFormat="1" applyFont="1" applyAlignment="1">
      <alignment/>
    </xf>
    <xf numFmtId="0" fontId="34" fillId="0" borderId="0" xfId="0" applyFont="1" applyAlignment="1">
      <alignment/>
    </xf>
    <xf numFmtId="0" fontId="10" fillId="0" borderId="0" xfId="0" applyFont="1" applyAlignment="1">
      <alignment horizontal="left"/>
    </xf>
    <xf numFmtId="2" fontId="10" fillId="0" borderId="0" xfId="0" applyNumberFormat="1" applyFont="1" applyAlignment="1">
      <alignment horizontal="left"/>
    </xf>
    <xf numFmtId="0" fontId="52" fillId="0" borderId="0" xfId="0" applyFont="1" applyAlignment="1">
      <alignment/>
    </xf>
    <xf numFmtId="0" fontId="47" fillId="0" borderId="0" xfId="0" applyFont="1" applyAlignment="1">
      <alignment horizontal="right"/>
    </xf>
    <xf numFmtId="166" fontId="10" fillId="0" borderId="0" xfId="0" applyNumberFormat="1" applyFont="1" applyAlignment="1">
      <alignment/>
    </xf>
    <xf numFmtId="0" fontId="12" fillId="38" borderId="10" xfId="0" applyFont="1" applyFill="1" applyBorder="1" applyAlignment="1" applyProtection="1">
      <alignment/>
      <protection locked="0"/>
    </xf>
    <xf numFmtId="0" fontId="9" fillId="0" borderId="0" xfId="0" applyFont="1" applyAlignment="1">
      <alignment horizontal="right"/>
    </xf>
    <xf numFmtId="177" fontId="10" fillId="0" borderId="0" xfId="0" applyNumberFormat="1" applyFont="1" applyAlignment="1">
      <alignment/>
    </xf>
    <xf numFmtId="165" fontId="10" fillId="0" borderId="0" xfId="0" applyNumberFormat="1" applyFont="1" applyAlignment="1">
      <alignment/>
    </xf>
    <xf numFmtId="1" fontId="10" fillId="0" borderId="0" xfId="0" applyNumberFormat="1" applyFont="1" applyAlignment="1">
      <alignment/>
    </xf>
    <xf numFmtId="176" fontId="10" fillId="0" borderId="0" xfId="0" applyNumberFormat="1" applyFont="1" applyAlignment="1">
      <alignment/>
    </xf>
    <xf numFmtId="0" fontId="30" fillId="42" borderId="11" xfId="0" applyFont="1" applyFill="1" applyBorder="1" applyAlignment="1">
      <alignment horizontal="center" wrapText="1"/>
    </xf>
    <xf numFmtId="0" fontId="0" fillId="42" borderId="13" xfId="0" applyFill="1" applyBorder="1" applyAlignment="1">
      <alignment horizontal="center" wrapText="1"/>
    </xf>
    <xf numFmtId="0" fontId="0" fillId="42" borderId="12" xfId="0" applyFill="1" applyBorder="1" applyAlignment="1">
      <alignment horizontal="center" wrapText="1"/>
    </xf>
    <xf numFmtId="0" fontId="42" fillId="0" borderId="0" xfId="53" applyFont="1" applyAlignment="1" applyProtection="1">
      <alignment wrapText="1"/>
      <protection/>
    </xf>
    <xf numFmtId="0" fontId="40" fillId="0" borderId="0" xfId="53" applyAlignment="1" applyProtection="1">
      <alignment wrapText="1"/>
      <protection/>
    </xf>
    <xf numFmtId="0" fontId="27" fillId="0" borderId="0" xfId="0" applyFont="1" applyAlignment="1">
      <alignment/>
    </xf>
    <xf numFmtId="0" fontId="13" fillId="0" borderId="0" xfId="0" applyFont="1" applyAlignment="1">
      <alignment horizontal="left" vertical="top"/>
    </xf>
    <xf numFmtId="0" fontId="0" fillId="0" borderId="0" xfId="0" applyAlignment="1">
      <alignment/>
    </xf>
    <xf numFmtId="0" fontId="0" fillId="0" borderId="19" xfId="0" applyFill="1" applyBorder="1" applyAlignment="1">
      <alignment horizontal="left" vertical="top"/>
    </xf>
    <xf numFmtId="0" fontId="0" fillId="0" borderId="19" xfId="0" applyBorder="1" applyAlignment="1">
      <alignment/>
    </xf>
    <xf numFmtId="0" fontId="3" fillId="40" borderId="21" xfId="0" applyFont="1" applyFill="1" applyBorder="1" applyAlignment="1">
      <alignment horizontal="center" wrapText="1"/>
    </xf>
    <xf numFmtId="0" fontId="12" fillId="0" borderId="0" xfId="0" applyFont="1" applyAlignment="1">
      <alignment horizontal="center"/>
    </xf>
    <xf numFmtId="0" fontId="12" fillId="43" borderId="11" xfId="0" applyFont="1" applyFill="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42" borderId="11" xfId="0" applyFill="1" applyBorder="1" applyAlignment="1">
      <alignment wrapText="1"/>
    </xf>
    <xf numFmtId="0" fontId="0" fillId="42" borderId="13" xfId="0" applyFill="1" applyBorder="1" applyAlignment="1">
      <alignment wrapText="1"/>
    </xf>
    <xf numFmtId="0" fontId="0" fillId="42" borderId="12" xfId="0" applyFill="1" applyBorder="1" applyAlignment="1">
      <alignment wrapText="1"/>
    </xf>
    <xf numFmtId="0" fontId="15" fillId="40" borderId="21" xfId="0" applyFont="1" applyFill="1" applyBorder="1" applyAlignment="1">
      <alignment horizontal="center" wrapText="1"/>
    </xf>
    <xf numFmtId="0" fontId="15" fillId="40" borderId="0" xfId="0" applyFont="1" applyFill="1" applyAlignment="1">
      <alignment horizontal="center" wrapText="1"/>
    </xf>
    <xf numFmtId="0" fontId="15" fillId="40" borderId="0" xfId="0" applyFont="1" applyFill="1" applyAlignment="1">
      <alignment horizontal="center" wrapText="1"/>
    </xf>
    <xf numFmtId="0" fontId="0" fillId="40" borderId="0" xfId="0" applyFont="1" applyFill="1" applyAlignment="1">
      <alignment horizontal="center" wrapText="1"/>
    </xf>
    <xf numFmtId="0" fontId="0" fillId="41" borderId="15" xfId="0" applyFont="1" applyFill="1" applyBorder="1" applyAlignment="1">
      <alignment vertical="top" wrapText="1"/>
    </xf>
    <xf numFmtId="0" fontId="0" fillId="41" borderId="16" xfId="0" applyFill="1" applyBorder="1" applyAlignment="1">
      <alignment vertical="top" wrapText="1"/>
    </xf>
    <xf numFmtId="0" fontId="0" fillId="41" borderId="17" xfId="0" applyFill="1" applyBorder="1" applyAlignment="1">
      <alignment vertical="top" wrapText="1"/>
    </xf>
    <xf numFmtId="0" fontId="0" fillId="41" borderId="18" xfId="0" applyFill="1" applyBorder="1" applyAlignment="1">
      <alignment vertical="top" wrapText="1"/>
    </xf>
    <xf numFmtId="0" fontId="0" fillId="41" borderId="0" xfId="0" applyFill="1" applyBorder="1" applyAlignment="1">
      <alignment vertical="top" wrapText="1"/>
    </xf>
    <xf numFmtId="0" fontId="0" fillId="41" borderId="19" xfId="0" applyFill="1" applyBorder="1" applyAlignment="1">
      <alignment vertical="top" wrapText="1"/>
    </xf>
    <xf numFmtId="0" fontId="0" fillId="41" borderId="20" xfId="0" applyFill="1" applyBorder="1" applyAlignment="1">
      <alignment vertical="top" wrapText="1"/>
    </xf>
    <xf numFmtId="0" fontId="0" fillId="41" borderId="21" xfId="0" applyFill="1" applyBorder="1" applyAlignment="1">
      <alignment vertical="top" wrapText="1"/>
    </xf>
    <xf numFmtId="0" fontId="0" fillId="41" borderId="22" xfId="0" applyFill="1" applyBorder="1" applyAlignment="1">
      <alignment vertical="top" wrapText="1"/>
    </xf>
    <xf numFmtId="0" fontId="18" fillId="44" borderId="11" xfId="0" applyFont="1" applyFill="1"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wrapText="1"/>
    </xf>
    <xf numFmtId="0" fontId="0" fillId="39" borderId="0" xfId="0" applyFill="1" applyAlignment="1">
      <alignment wrapText="1"/>
    </xf>
    <xf numFmtId="166" fontId="10" fillId="0" borderId="0" xfId="0" applyNumberFormat="1" applyFont="1" applyAlignment="1">
      <alignment horizontal="left"/>
    </xf>
    <xf numFmtId="166" fontId="0" fillId="0" borderId="0" xfId="0" applyNumberFormat="1" applyAlignment="1">
      <alignment horizontal="left"/>
    </xf>
    <xf numFmtId="0" fontId="10" fillId="0" borderId="0" xfId="0" applyFont="1" applyAlignment="1">
      <alignment horizontal="right"/>
    </xf>
    <xf numFmtId="0" fontId="0" fillId="0" borderId="0" xfId="0" applyAlignment="1">
      <alignment horizontal="right"/>
    </xf>
    <xf numFmtId="0" fontId="18" fillId="42" borderId="11" xfId="0" applyFont="1" applyFill="1" applyBorder="1" applyAlignment="1">
      <alignment wrapText="1"/>
    </xf>
    <xf numFmtId="0" fontId="0" fillId="42" borderId="13" xfId="0" applyFill="1" applyBorder="1" applyAlignment="1">
      <alignment/>
    </xf>
    <xf numFmtId="0" fontId="0" fillId="42" borderId="12" xfId="0" applyFill="1" applyBorder="1" applyAlignment="1">
      <alignment/>
    </xf>
    <xf numFmtId="0" fontId="0" fillId="35" borderId="0" xfId="0" applyFill="1" applyAlignment="1">
      <alignment wrapText="1"/>
    </xf>
    <xf numFmtId="0" fontId="0" fillId="33" borderId="11" xfId="0" applyFill="1" applyBorder="1" applyAlignment="1" applyProtection="1">
      <alignment/>
      <protection locked="0"/>
    </xf>
    <xf numFmtId="0" fontId="0" fillId="0" borderId="12" xfId="0" applyBorder="1" applyAlignment="1" applyProtection="1">
      <alignment/>
      <protection locked="0"/>
    </xf>
    <xf numFmtId="0" fontId="0" fillId="0" borderId="16" xfId="0" applyBorder="1" applyAlignment="1">
      <alignment/>
    </xf>
    <xf numFmtId="0" fontId="2" fillId="0" borderId="11" xfId="0" applyFont="1" applyBorder="1" applyAlignment="1">
      <alignment/>
    </xf>
    <xf numFmtId="0" fontId="0" fillId="0" borderId="13" xfId="0" applyBorder="1" applyAlignment="1">
      <alignment/>
    </xf>
    <xf numFmtId="0" fontId="0" fillId="0" borderId="12" xfId="0" applyBorder="1" applyAlignment="1">
      <alignment/>
    </xf>
    <xf numFmtId="0" fontId="0" fillId="44" borderId="11" xfId="0" applyFill="1" applyBorder="1" applyAlignment="1" applyProtection="1">
      <alignment vertical="top" wrapText="1"/>
      <protection/>
    </xf>
    <xf numFmtId="0" fontId="0" fillId="0" borderId="13" xfId="0" applyBorder="1" applyAlignment="1" applyProtection="1">
      <alignment/>
      <protection/>
    </xf>
    <xf numFmtId="0" fontId="0" fillId="44" borderId="15" xfId="0" applyFill="1" applyBorder="1" applyAlignment="1" applyProtection="1">
      <alignment vertical="top" wrapText="1"/>
      <protection/>
    </xf>
    <xf numFmtId="0" fontId="0" fillId="44" borderId="16" xfId="0" applyFill="1" applyBorder="1" applyAlignment="1" applyProtection="1">
      <alignment vertical="top" wrapText="1"/>
      <protection/>
    </xf>
    <xf numFmtId="0" fontId="0" fillId="44" borderId="17" xfId="0" applyFill="1" applyBorder="1" applyAlignment="1" applyProtection="1">
      <alignment vertical="top" wrapText="1"/>
      <protection/>
    </xf>
    <xf numFmtId="0" fontId="0" fillId="44" borderId="18" xfId="0" applyFill="1" applyBorder="1" applyAlignment="1" applyProtection="1">
      <alignment vertical="top" wrapText="1"/>
      <protection/>
    </xf>
    <xf numFmtId="0" fontId="0" fillId="44" borderId="0" xfId="0" applyFill="1" applyBorder="1" applyAlignment="1" applyProtection="1">
      <alignment vertical="top" wrapText="1"/>
      <protection/>
    </xf>
    <xf numFmtId="0" fontId="0" fillId="44" borderId="19" xfId="0" applyFill="1" applyBorder="1" applyAlignment="1" applyProtection="1">
      <alignment vertical="top"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2" xfId="0" applyBorder="1" applyAlignment="1" applyProtection="1">
      <alignment wrapText="1"/>
      <protection/>
    </xf>
    <xf numFmtId="0" fontId="0" fillId="0" borderId="0" xfId="0" applyAlignment="1" applyProtection="1">
      <alignment/>
      <protection/>
    </xf>
    <xf numFmtId="0" fontId="2" fillId="0" borderId="11" xfId="0" applyFont="1" applyBorder="1" applyAlignment="1" applyProtection="1">
      <alignment/>
      <protection/>
    </xf>
    <xf numFmtId="0" fontId="15" fillId="40" borderId="0" xfId="0" applyFont="1" applyFill="1" applyAlignment="1" applyProtection="1">
      <alignment horizontal="center" wrapText="1"/>
      <protection/>
    </xf>
    <xf numFmtId="0" fontId="0" fillId="40" borderId="0" xfId="0" applyFill="1" applyAlignment="1" applyProtection="1">
      <alignment horizontal="center" wrapText="1"/>
      <protection/>
    </xf>
    <xf numFmtId="0" fontId="0" fillId="40" borderId="19" xfId="0" applyFill="1" applyBorder="1" applyAlignment="1" applyProtection="1">
      <alignment horizontal="center" wrapText="1"/>
      <protection/>
    </xf>
    <xf numFmtId="0" fontId="0" fillId="35" borderId="0" xfId="0" applyFill="1" applyAlignment="1">
      <alignment/>
    </xf>
    <xf numFmtId="2" fontId="12" fillId="0" borderId="11" xfId="0" applyNumberFormat="1" applyFont="1" applyFill="1" applyBorder="1" applyAlignment="1">
      <alignment horizontal="center" wrapText="1"/>
    </xf>
    <xf numFmtId="2" fontId="12" fillId="0" borderId="12" xfId="0" applyNumberFormat="1" applyFont="1" applyFill="1" applyBorder="1" applyAlignment="1">
      <alignment horizontal="center" wrapText="1"/>
    </xf>
    <xf numFmtId="2" fontId="12" fillId="45" borderId="11" xfId="0" applyNumberFormat="1" applyFont="1" applyFill="1" applyBorder="1" applyAlignment="1">
      <alignment horizontal="center" wrapText="1"/>
    </xf>
    <xf numFmtId="2" fontId="12" fillId="45" borderId="12" xfId="0" applyNumberFormat="1" applyFont="1" applyFill="1" applyBorder="1" applyAlignment="1">
      <alignment horizontal="center" wrapText="1"/>
    </xf>
    <xf numFmtId="2" fontId="12" fillId="0" borderId="11" xfId="0" applyNumberFormat="1" applyFont="1" applyBorder="1" applyAlignment="1">
      <alignment horizontal="center" wrapText="1"/>
    </xf>
    <xf numFmtId="2" fontId="12" fillId="0" borderId="12" xfId="0" applyNumberFormat="1" applyFont="1" applyBorder="1" applyAlignment="1">
      <alignment horizontal="center" wrapText="1"/>
    </xf>
    <xf numFmtId="0" fontId="0" fillId="40" borderId="0" xfId="0" applyFill="1" applyAlignment="1">
      <alignment horizontal="center" wrapText="1"/>
    </xf>
    <xf numFmtId="0" fontId="12"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9" fillId="42" borderId="11" xfId="0" applyFont="1" applyFill="1" applyBorder="1" applyAlignment="1">
      <alignment horizontal="center" vertical="center" wrapText="1"/>
    </xf>
    <xf numFmtId="0" fontId="43" fillId="42" borderId="13" xfId="0" applyFont="1" applyFill="1" applyBorder="1" applyAlignment="1">
      <alignment horizontal="center" vertical="center" wrapText="1"/>
    </xf>
    <xf numFmtId="0" fontId="43" fillId="42" borderId="12" xfId="0" applyFont="1" applyFill="1" applyBorder="1" applyAlignment="1">
      <alignment horizontal="center" vertical="center" wrapText="1"/>
    </xf>
    <xf numFmtId="0" fontId="13" fillId="45" borderId="0" xfId="0" applyFont="1" applyFill="1" applyAlignment="1">
      <alignment horizontal="center"/>
    </xf>
    <xf numFmtId="0" fontId="22" fillId="42" borderId="11" xfId="0" applyFont="1" applyFill="1" applyBorder="1" applyAlignment="1" applyProtection="1">
      <alignment horizontal="center"/>
      <protection/>
    </xf>
    <xf numFmtId="0" fontId="0" fillId="42" borderId="13" xfId="0" applyFill="1" applyBorder="1" applyAlignment="1" applyProtection="1">
      <alignment horizontal="center"/>
      <protection/>
    </xf>
    <xf numFmtId="0" fontId="0" fillId="42" borderId="12" xfId="0" applyFill="1" applyBorder="1" applyAlignment="1" applyProtection="1">
      <alignment horizontal="center"/>
      <protection/>
    </xf>
    <xf numFmtId="0" fontId="0" fillId="42" borderId="15" xfId="0" applyFill="1" applyBorder="1" applyAlignment="1" applyProtection="1">
      <alignment horizontal="left" vertical="top" wrapText="1"/>
      <protection/>
    </xf>
    <xf numFmtId="0" fontId="0" fillId="42" borderId="16" xfId="0" applyFill="1" applyBorder="1" applyAlignment="1" applyProtection="1">
      <alignment horizontal="left" vertical="top" wrapText="1"/>
      <protection/>
    </xf>
    <xf numFmtId="0" fontId="23" fillId="42" borderId="17" xfId="0" applyFont="1" applyFill="1" applyBorder="1" applyAlignment="1" applyProtection="1">
      <alignment horizontal="left" vertical="top" wrapText="1"/>
      <protection/>
    </xf>
    <xf numFmtId="0" fontId="0" fillId="42" borderId="18" xfId="0" applyFill="1" applyBorder="1" applyAlignment="1" applyProtection="1">
      <alignment horizontal="left" vertical="top" wrapText="1"/>
      <protection/>
    </xf>
    <xf numFmtId="0" fontId="0" fillId="42" borderId="0" xfId="0" applyFill="1" applyBorder="1" applyAlignment="1" applyProtection="1">
      <alignment horizontal="left" vertical="top" wrapText="1"/>
      <protection/>
    </xf>
    <xf numFmtId="0" fontId="23" fillId="42" borderId="19" xfId="0" applyFont="1" applyFill="1" applyBorder="1" applyAlignment="1" applyProtection="1">
      <alignment horizontal="left" vertical="top" wrapText="1"/>
      <protection/>
    </xf>
    <xf numFmtId="0" fontId="0" fillId="42" borderId="20" xfId="0" applyFill="1" applyBorder="1" applyAlignment="1" applyProtection="1">
      <alignment horizontal="left" vertical="top" wrapText="1"/>
      <protection/>
    </xf>
    <xf numFmtId="0" fontId="0" fillId="42" borderId="21" xfId="0" applyFill="1" applyBorder="1" applyAlignment="1" applyProtection="1">
      <alignment horizontal="left" vertical="top" wrapText="1"/>
      <protection/>
    </xf>
    <xf numFmtId="0" fontId="23" fillId="42" borderId="22" xfId="0" applyFont="1" applyFill="1" applyBorder="1" applyAlignment="1" applyProtection="1">
      <alignment horizontal="left" vertical="top" wrapText="1"/>
      <protection/>
    </xf>
    <xf numFmtId="0" fontId="30" fillId="42" borderId="15" xfId="0" applyFont="1" applyFill="1" applyBorder="1" applyAlignment="1" applyProtection="1">
      <alignment horizontal="center" vertical="center" wrapText="1"/>
      <protection/>
    </xf>
    <xf numFmtId="0" fontId="30" fillId="42" borderId="16" xfId="0" applyFont="1" applyFill="1" applyBorder="1" applyAlignment="1" applyProtection="1">
      <alignment horizontal="center" vertical="center" wrapText="1"/>
      <protection/>
    </xf>
    <xf numFmtId="0" fontId="30" fillId="42" borderId="17" xfId="0" applyFont="1" applyFill="1" applyBorder="1" applyAlignment="1" applyProtection="1">
      <alignment horizontal="center" vertical="center" wrapText="1"/>
      <protection/>
    </xf>
    <xf numFmtId="0" fontId="30" fillId="42" borderId="20" xfId="0" applyFont="1" applyFill="1" applyBorder="1" applyAlignment="1" applyProtection="1">
      <alignment horizontal="center" vertical="center" wrapText="1"/>
      <protection/>
    </xf>
    <xf numFmtId="0" fontId="30" fillId="42" borderId="21" xfId="0" applyFont="1" applyFill="1" applyBorder="1" applyAlignment="1" applyProtection="1">
      <alignment horizontal="center" vertical="center" wrapText="1"/>
      <protection/>
    </xf>
    <xf numFmtId="0" fontId="30" fillId="42" borderId="22" xfId="0" applyFont="1" applyFill="1" applyBorder="1" applyAlignment="1" applyProtection="1">
      <alignment horizontal="center" vertical="center" wrapText="1"/>
      <protection/>
    </xf>
    <xf numFmtId="0" fontId="2" fillId="0" borderId="0" xfId="0" applyFont="1" applyAlignment="1">
      <alignment horizontal="center" wrapText="1"/>
    </xf>
    <xf numFmtId="0" fontId="0" fillId="44" borderId="15" xfId="0" applyFont="1" applyFill="1" applyBorder="1" applyAlignment="1">
      <alignment vertical="center" wrapText="1"/>
    </xf>
    <xf numFmtId="0" fontId="0" fillId="44" borderId="16" xfId="0" applyFont="1" applyFill="1" applyBorder="1" applyAlignment="1">
      <alignment vertical="center" wrapText="1"/>
    </xf>
    <xf numFmtId="0" fontId="0" fillId="44" borderId="17" xfId="0" applyFont="1" applyFill="1" applyBorder="1" applyAlignment="1">
      <alignment vertical="center" wrapText="1"/>
    </xf>
    <xf numFmtId="0" fontId="0" fillId="44" borderId="18" xfId="0" applyFont="1" applyFill="1" applyBorder="1" applyAlignment="1">
      <alignment vertical="center" wrapText="1"/>
    </xf>
    <xf numFmtId="0" fontId="0" fillId="44" borderId="0" xfId="0" applyFont="1" applyFill="1" applyBorder="1" applyAlignment="1">
      <alignment vertical="center" wrapText="1"/>
    </xf>
    <xf numFmtId="0" fontId="0" fillId="44" borderId="19" xfId="0" applyFont="1" applyFill="1" applyBorder="1" applyAlignment="1">
      <alignment vertical="center" wrapText="1"/>
    </xf>
    <xf numFmtId="0" fontId="0" fillId="44" borderId="20" xfId="0" applyFont="1" applyFill="1" applyBorder="1" applyAlignment="1">
      <alignment vertical="center" wrapText="1"/>
    </xf>
    <xf numFmtId="0" fontId="0" fillId="44" borderId="21" xfId="0" applyFont="1" applyFill="1" applyBorder="1" applyAlignment="1">
      <alignment vertical="center" wrapText="1"/>
    </xf>
    <xf numFmtId="0" fontId="0" fillId="44" borderId="22" xfId="0" applyFont="1" applyFill="1" applyBorder="1" applyAlignment="1">
      <alignment vertical="center" wrapText="1"/>
    </xf>
    <xf numFmtId="0" fontId="3" fillId="0" borderId="16" xfId="0" applyFont="1" applyBorder="1" applyAlignment="1">
      <alignment wrapText="1"/>
    </xf>
    <xf numFmtId="0" fontId="40" fillId="0" borderId="0" xfId="53" applyFont="1" applyAlignment="1" applyProtection="1">
      <alignment horizontal="center"/>
      <protection/>
    </xf>
    <xf numFmtId="0" fontId="19" fillId="42" borderId="11" xfId="0" applyFont="1" applyFill="1" applyBorder="1" applyAlignment="1">
      <alignment horizontal="right" wrapText="1"/>
    </xf>
    <xf numFmtId="0" fontId="0" fillId="0" borderId="13" xfId="0" applyBorder="1" applyAlignment="1">
      <alignment wrapText="1"/>
    </xf>
    <xf numFmtId="0" fontId="0" fillId="0" borderId="12" xfId="0" applyBorder="1" applyAlignment="1">
      <alignment wrapText="1"/>
    </xf>
    <xf numFmtId="0" fontId="30" fillId="42" borderId="11" xfId="0" applyFont="1" applyFill="1" applyBorder="1" applyAlignment="1">
      <alignment horizontal="center" vertical="center" wrapText="1"/>
    </xf>
    <xf numFmtId="0" fontId="45" fillId="42" borderId="15" xfId="0" applyFont="1" applyFill="1" applyBorder="1" applyAlignment="1">
      <alignment horizontal="left" vertical="center" wrapText="1"/>
    </xf>
    <xf numFmtId="0" fontId="45" fillId="0" borderId="16" xfId="0" applyFont="1" applyBorder="1" applyAlignment="1">
      <alignment horizontal="left" vertical="center" wrapText="1"/>
    </xf>
    <xf numFmtId="0" fontId="45" fillId="0" borderId="20" xfId="0" applyFont="1" applyBorder="1" applyAlignment="1">
      <alignment horizontal="left" vertical="center" wrapText="1"/>
    </xf>
    <xf numFmtId="0" fontId="45" fillId="0" borderId="21" xfId="0" applyFont="1" applyBorder="1" applyAlignment="1">
      <alignment horizontal="left" vertical="center" wrapText="1"/>
    </xf>
    <xf numFmtId="0" fontId="0" fillId="0" borderId="15" xfId="0" applyBorder="1" applyAlignment="1">
      <alignment wrapText="1"/>
    </xf>
    <xf numFmtId="0" fontId="0" fillId="0" borderId="17" xfId="0" applyBorder="1" applyAlignment="1">
      <alignment wrapText="1"/>
    </xf>
    <xf numFmtId="0" fontId="0" fillId="0" borderId="20" xfId="0" applyBorder="1" applyAlignment="1">
      <alignment wrapText="1"/>
    </xf>
    <xf numFmtId="0" fontId="0" fillId="0" borderId="22" xfId="0" applyBorder="1" applyAlignment="1">
      <alignment wrapText="1"/>
    </xf>
    <xf numFmtId="0" fontId="0" fillId="0" borderId="11" xfId="0" applyBorder="1" applyAlignment="1">
      <alignment wrapText="1"/>
    </xf>
    <xf numFmtId="0" fontId="12" fillId="0" borderId="16" xfId="0" applyFont="1"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12"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12"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19" fillId="42" borderId="11" xfId="0" applyFont="1" applyFill="1" applyBorder="1" applyAlignment="1">
      <alignment horizontal="right"/>
    </xf>
    <xf numFmtId="0" fontId="19" fillId="42" borderId="11" xfId="0" applyFont="1" applyFill="1" applyBorder="1" applyAlignment="1">
      <alignment wrapText="1"/>
    </xf>
    <xf numFmtId="0" fontId="19" fillId="42" borderId="13" xfId="0" applyFont="1" applyFill="1" applyBorder="1" applyAlignment="1">
      <alignment wrapText="1"/>
    </xf>
    <xf numFmtId="0" fontId="19" fillId="42" borderId="12" xfId="0" applyFont="1" applyFill="1" applyBorder="1" applyAlignment="1">
      <alignment wrapText="1"/>
    </xf>
    <xf numFmtId="0" fontId="0" fillId="42" borderId="15" xfId="0" applyFill="1" applyBorder="1" applyAlignment="1">
      <alignment horizontal="left" vertical="center" wrapText="1"/>
    </xf>
    <xf numFmtId="0" fontId="0" fillId="42" borderId="16" xfId="0" applyFill="1" applyBorder="1" applyAlignment="1">
      <alignment horizontal="left" vertical="center" wrapText="1"/>
    </xf>
    <xf numFmtId="0" fontId="0" fillId="42" borderId="17" xfId="0" applyFill="1" applyBorder="1" applyAlignment="1">
      <alignment horizontal="left" vertical="center" wrapText="1"/>
    </xf>
    <xf numFmtId="0" fontId="0" fillId="42" borderId="20" xfId="0" applyFill="1" applyBorder="1" applyAlignment="1">
      <alignment horizontal="left" vertical="center" wrapText="1"/>
    </xf>
    <xf numFmtId="0" fontId="0" fillId="42" borderId="21" xfId="0" applyFill="1" applyBorder="1" applyAlignment="1">
      <alignment horizontal="left" vertical="center" wrapText="1"/>
    </xf>
    <xf numFmtId="0" fontId="0" fillId="42" borderId="22" xfId="0" applyFill="1" applyBorder="1" applyAlignment="1">
      <alignment horizontal="left" vertical="center" wrapText="1"/>
    </xf>
    <xf numFmtId="0" fontId="12" fillId="0" borderId="26" xfId="0" applyFont="1" applyBorder="1" applyAlignment="1">
      <alignment horizontal="center" wrapText="1"/>
    </xf>
    <xf numFmtId="0" fontId="12" fillId="0" borderId="25" xfId="0" applyFont="1" applyBorder="1" applyAlignment="1">
      <alignment horizontal="center" wrapText="1"/>
    </xf>
    <xf numFmtId="0" fontId="10" fillId="0" borderId="21" xfId="0" applyFont="1" applyBorder="1" applyAlignment="1">
      <alignment horizontal="center"/>
    </xf>
    <xf numFmtId="0" fontId="12" fillId="0" borderId="21" xfId="0" applyFont="1" applyBorder="1" applyAlignment="1">
      <alignment horizontal="center"/>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31" fillId="42" borderId="13" xfId="0" applyFont="1" applyFill="1" applyBorder="1" applyAlignment="1">
      <alignment horizontal="center" vertical="center" wrapText="1"/>
    </xf>
    <xf numFmtId="0" fontId="31" fillId="42" borderId="13" xfId="0" applyFont="1" applyFill="1" applyBorder="1" applyAlignment="1">
      <alignment wrapText="1"/>
    </xf>
    <xf numFmtId="0" fontId="31" fillId="42" borderId="12" xfId="0" applyFont="1" applyFill="1" applyBorder="1" applyAlignment="1">
      <alignment wrapText="1"/>
    </xf>
    <xf numFmtId="0" fontId="13" fillId="42" borderId="15" xfId="0" applyFont="1" applyFill="1" applyBorder="1" applyAlignment="1">
      <alignment horizontal="center" vertical="center" wrapText="1"/>
    </xf>
    <xf numFmtId="0" fontId="12" fillId="0" borderId="16" xfId="0" applyFont="1" applyBorder="1" applyAlignment="1">
      <alignment wrapText="1"/>
    </xf>
    <xf numFmtId="0" fontId="12" fillId="0" borderId="17"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505"/>
          <c:w val="0.95875"/>
          <c:h val="0.8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'Standard Deviation'!$D$22:$D$33</c:f>
              <c:numCache/>
            </c:numRef>
          </c:cat>
          <c:val>
            <c:numRef>
              <c:f>'Standard Deviation'!$E$22:$E$33</c:f>
              <c:numCache/>
            </c:numRef>
          </c:val>
        </c:ser>
        <c:axId val="63881834"/>
        <c:axId val="38065595"/>
      </c:barChart>
      <c:catAx>
        <c:axId val="63881834"/>
        <c:scaling>
          <c:orientation val="minMax"/>
        </c:scaling>
        <c:axPos val="b"/>
        <c:delete val="0"/>
        <c:numFmt formatCode="General" sourceLinked="1"/>
        <c:majorTickMark val="out"/>
        <c:minorTickMark val="none"/>
        <c:tickLblPos val="nextTo"/>
        <c:spPr>
          <a:ln w="3175">
            <a:solidFill>
              <a:srgbClr val="000000"/>
            </a:solidFill>
          </a:ln>
        </c:spPr>
        <c:crossAx val="38065595"/>
        <c:crosses val="autoZero"/>
        <c:auto val="1"/>
        <c:lblOffset val="100"/>
        <c:tickLblSkip val="1"/>
        <c:noMultiLvlLbl val="0"/>
      </c:catAx>
      <c:valAx>
        <c:axId val="380655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818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505"/>
          <c:w val="0.95675"/>
          <c:h val="0.8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'Standard Deviation'!$N$22:$N$33</c:f>
              <c:numCache/>
            </c:numRef>
          </c:cat>
          <c:val>
            <c:numRef>
              <c:f>'Standard Deviation'!$O$22:$O$33</c:f>
              <c:numCache/>
            </c:numRef>
          </c:val>
        </c:ser>
        <c:axId val="7046036"/>
        <c:axId val="63414325"/>
      </c:barChart>
      <c:catAx>
        <c:axId val="7046036"/>
        <c:scaling>
          <c:orientation val="minMax"/>
        </c:scaling>
        <c:axPos val="b"/>
        <c:delete val="0"/>
        <c:numFmt formatCode="General" sourceLinked="1"/>
        <c:majorTickMark val="out"/>
        <c:minorTickMark val="none"/>
        <c:tickLblPos val="nextTo"/>
        <c:spPr>
          <a:ln w="3175">
            <a:solidFill>
              <a:srgbClr val="000000"/>
            </a:solidFill>
          </a:ln>
        </c:spPr>
        <c:crossAx val="63414325"/>
        <c:crosses val="autoZero"/>
        <c:auto val="1"/>
        <c:lblOffset val="100"/>
        <c:tickLblSkip val="1"/>
        <c:noMultiLvlLbl val="0"/>
      </c:catAx>
      <c:valAx>
        <c:axId val="634143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460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65"/>
          <c:w val="0.84175"/>
          <c:h val="0.907"/>
        </c:manualLayout>
      </c:layout>
      <c:barChart>
        <c:barDir val="col"/>
        <c:grouping val="clustered"/>
        <c:varyColors val="0"/>
        <c:ser>
          <c:idx val="0"/>
          <c:order val="0"/>
          <c:tx>
            <c:strRef>
              <c:f>'Skewed Distribution '!$E$49</c:f>
              <c:strCache>
                <c:ptCount val="1"/>
                <c:pt idx="0">
                  <c:v>before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'Skewed Distribution '!$D$50:$D$64</c:f>
              <c:numCache/>
            </c:numRef>
          </c:cat>
          <c:val>
            <c:numRef>
              <c:f>'Skewed Distribution '!$E$50:$E$64</c:f>
              <c:numCache/>
            </c:numRef>
          </c:val>
        </c:ser>
        <c:ser>
          <c:idx val="1"/>
          <c:order val="1"/>
          <c:tx>
            <c:strRef>
              <c:f>'Skewed Distribution '!$F$49</c:f>
              <c:strCache>
                <c:ptCount val="1"/>
                <c:pt idx="0">
                  <c:v>after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'Skewed Distribution '!$D$50:$D$64</c:f>
              <c:numCache/>
            </c:numRef>
          </c:cat>
          <c:val>
            <c:numRef>
              <c:f>'Skewed Distribution '!$F$50:$F$64</c:f>
              <c:numCache/>
            </c:numRef>
          </c:val>
        </c:ser>
        <c:axId val="33858014"/>
        <c:axId val="36286671"/>
      </c:barChart>
      <c:catAx>
        <c:axId val="33858014"/>
        <c:scaling>
          <c:orientation val="minMax"/>
        </c:scaling>
        <c:axPos val="b"/>
        <c:delete val="0"/>
        <c:numFmt formatCode="General" sourceLinked="1"/>
        <c:majorTickMark val="out"/>
        <c:minorTickMark val="none"/>
        <c:tickLblPos val="nextTo"/>
        <c:spPr>
          <a:ln w="3175">
            <a:solidFill>
              <a:srgbClr val="000000"/>
            </a:solidFill>
          </a:ln>
        </c:spPr>
        <c:crossAx val="36286671"/>
        <c:crosses val="autoZero"/>
        <c:auto val="1"/>
        <c:lblOffset val="100"/>
        <c:tickLblSkip val="1"/>
        <c:noMultiLvlLbl val="0"/>
      </c:catAx>
      <c:valAx>
        <c:axId val="362866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858014"/>
        <c:crossesAt val="1"/>
        <c:crossBetween val="between"/>
        <c:dispUnits/>
      </c:valAx>
      <c:spPr>
        <a:solidFill>
          <a:srgbClr val="C0C0C0"/>
        </a:solidFill>
        <a:ln w="12700">
          <a:solidFill>
            <a:srgbClr val="808080"/>
          </a:solidFill>
        </a:ln>
      </c:spPr>
    </c:plotArea>
    <c:legend>
      <c:legendPos val="r"/>
      <c:layout>
        <c:manualLayout>
          <c:xMode val="edge"/>
          <c:yMode val="edge"/>
          <c:x val="0.882"/>
          <c:y val="0.38375"/>
          <c:w val="0.108"/>
          <c:h val="0.15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675"/>
          <c:w val="0.79575"/>
          <c:h val="0.901"/>
        </c:manualLayout>
      </c:layout>
      <c:barChart>
        <c:barDir val="col"/>
        <c:grouping val="clustered"/>
        <c:varyColors val="0"/>
        <c:ser>
          <c:idx val="0"/>
          <c:order val="0"/>
          <c:tx>
            <c:strRef>
              <c:f>'T-test (Unpaired)'!$S$2</c:f>
              <c:strCache>
                <c:ptCount val="1"/>
                <c:pt idx="0">
                  <c:v>Freq. failed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'T-test (Unpaired)'!$R$3:$R$8</c:f>
              <c:strCache/>
            </c:strRef>
          </c:cat>
          <c:val>
            <c:numRef>
              <c:f>'T-test (Unpaired)'!$S$3:$S$8</c:f>
              <c:numCache/>
            </c:numRef>
          </c:val>
        </c:ser>
        <c:ser>
          <c:idx val="1"/>
          <c:order val="1"/>
          <c:tx>
            <c:strRef>
              <c:f>'T-test (Unpaired)'!$T$2</c:f>
              <c:strCache>
                <c:ptCount val="1"/>
                <c:pt idx="0">
                  <c:v>Freq OK</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'T-test (Unpaired)'!$R$3:$R$8</c:f>
              <c:strCache/>
            </c:strRef>
          </c:cat>
          <c:val>
            <c:numRef>
              <c:f>'T-test (Unpaired)'!$T$3:$T$8</c:f>
              <c:numCache/>
            </c:numRef>
          </c:val>
        </c:ser>
        <c:axId val="58144584"/>
        <c:axId val="53539209"/>
      </c:barChart>
      <c:catAx>
        <c:axId val="58144584"/>
        <c:scaling>
          <c:orientation val="minMax"/>
        </c:scaling>
        <c:axPos val="b"/>
        <c:delete val="0"/>
        <c:numFmt formatCode="General" sourceLinked="1"/>
        <c:majorTickMark val="out"/>
        <c:minorTickMark val="none"/>
        <c:tickLblPos val="nextTo"/>
        <c:spPr>
          <a:ln w="3175">
            <a:solidFill>
              <a:srgbClr val="000000"/>
            </a:solidFill>
          </a:ln>
        </c:spPr>
        <c:crossAx val="53539209"/>
        <c:crosses val="autoZero"/>
        <c:auto val="1"/>
        <c:lblOffset val="100"/>
        <c:tickLblSkip val="1"/>
        <c:noMultiLvlLbl val="0"/>
      </c:catAx>
      <c:valAx>
        <c:axId val="535392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44584"/>
        <c:crossesAt val="1"/>
        <c:crossBetween val="between"/>
        <c:dispUnits/>
      </c:valAx>
      <c:spPr>
        <a:solidFill>
          <a:srgbClr val="C0C0C0"/>
        </a:solidFill>
        <a:ln w="12700">
          <a:solidFill>
            <a:srgbClr val="808080"/>
          </a:solidFill>
        </a:ln>
      </c:spPr>
    </c:plotArea>
    <c:legend>
      <c:legendPos val="r"/>
      <c:layout>
        <c:manualLayout>
          <c:xMode val="edge"/>
          <c:yMode val="edge"/>
          <c:x val="0.83625"/>
          <c:y val="0.386"/>
          <c:w val="0.15375"/>
          <c:h val="0.140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375"/>
          <c:w val="0.92925"/>
          <c:h val="0.81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'Correlation &amp; Linear Regression'!$B$4:$B$11</c:f>
              <c:numCache/>
            </c:numRef>
          </c:xVal>
          <c:yVal>
            <c:numRef>
              <c:f>'Correlation &amp; Linear Regression'!$C$4:$C$11</c:f>
              <c:numCache/>
            </c:numRef>
          </c:yVal>
          <c:smooth val="0"/>
        </c:ser>
        <c:ser>
          <c:idx val="1"/>
          <c:order val="1"/>
          <c:spPr>
            <a:ln w="3175">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20884"/>
                </a:solidFill>
              </a:ln>
            </c:spPr>
          </c:marker>
          <c:xVal>
            <c:numRef>
              <c:f>'Correlation &amp; Linear Regression'!$B$4:$B$11</c:f>
              <c:numCache/>
            </c:numRef>
          </c:xVal>
          <c:yVal>
            <c:numRef>
              <c:f>'Correlation &amp; Linear Regression'!$E$4:$E$11</c:f>
              <c:numCache/>
            </c:numRef>
          </c:yVal>
          <c:smooth val="0"/>
        </c:ser>
        <c:axId val="12090834"/>
        <c:axId val="41708643"/>
      </c:scatterChart>
      <c:valAx>
        <c:axId val="1209083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Weeks</a:t>
                </a:r>
              </a:p>
            </c:rich>
          </c:tx>
          <c:layout>
            <c:manualLayout>
              <c:xMode val="factor"/>
              <c:yMode val="factor"/>
              <c:x val="-0.011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708643"/>
        <c:crosses val="autoZero"/>
        <c:crossBetween val="midCat"/>
        <c:dispUnits/>
      </c:valAx>
      <c:valAx>
        <c:axId val="4170864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Savings</a:t>
                </a:r>
              </a:p>
            </c:rich>
          </c:tx>
          <c:layout>
            <c:manualLayout>
              <c:xMode val="factor"/>
              <c:yMode val="factor"/>
              <c:x val="-0.012"/>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0908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445"/>
          <c:w val="0.9605"/>
          <c:h val="0.905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'Epidemic curve'!$G$6:$G$15</c:f>
              <c:strCache/>
            </c:strRef>
          </c:cat>
          <c:val>
            <c:numRef>
              <c:f>'Epidemic curve'!$H$6:$H$15</c:f>
              <c:numCache/>
            </c:numRef>
          </c:val>
        </c:ser>
        <c:axId val="39833468"/>
        <c:axId val="22956893"/>
      </c:barChart>
      <c:dateAx>
        <c:axId val="39833468"/>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22956893"/>
        <c:crosses val="autoZero"/>
        <c:auto val="0"/>
        <c:baseTimeUnit val="days"/>
        <c:majorUnit val="7"/>
        <c:majorTimeUnit val="days"/>
        <c:minorUnit val="1"/>
        <c:minorTimeUnit val="days"/>
        <c:noMultiLvlLbl val="0"/>
      </c:dateAx>
      <c:valAx>
        <c:axId val="229568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8334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5825"/>
          <c:w val="0.9235"/>
          <c:h val="0.88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'T-tests'!$A$5:$A$18</c:f>
              <c:numCache/>
            </c:numRef>
          </c:xVal>
          <c:yVal>
            <c:numRef>
              <c:f>'T-tests'!$B$5:$B$18</c:f>
              <c:numCache/>
            </c:numRef>
          </c:yVal>
          <c:smooth val="0"/>
        </c:ser>
        <c:axId val="5285446"/>
        <c:axId val="47569015"/>
      </c:scatterChart>
      <c:valAx>
        <c:axId val="5285446"/>
        <c:scaling>
          <c:orientation val="minMax"/>
          <c:max val="2.2"/>
          <c:min val="0.8"/>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FFFFFF"/>
                </a:solidFill>
                <a:latin typeface="Arial"/>
                <a:ea typeface="Arial"/>
                <a:cs typeface="Arial"/>
              </a:defRPr>
            </a:pPr>
          </a:p>
        </c:txPr>
        <c:crossAx val="47569015"/>
        <c:crosses val="autoZero"/>
        <c:crossBetween val="midCat"/>
        <c:dispUnits/>
        <c:majorUnit val="1"/>
      </c:valAx>
      <c:valAx>
        <c:axId val="47569015"/>
        <c:scaling>
          <c:orientation val="minMax"/>
          <c:min val="2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85446"/>
        <c:crosses val="autoZero"/>
        <c:crossBetween val="midCat"/>
        <c:dispUnits/>
        <c:majorUnit val="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4725"/>
          <c:w val="0.908"/>
          <c:h val="0.88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xVal>
            <c:numRef>
              <c:f>'T-tests'!$A$5:$A$18</c:f>
              <c:numCache/>
            </c:numRef>
          </c:xVal>
          <c:yVal>
            <c:numRef>
              <c:f>'T-tests'!$B$5:$B$18</c:f>
              <c:numCache/>
            </c:numRef>
          </c:yVal>
          <c:smooth val="0"/>
        </c:ser>
        <c:axId val="25467952"/>
        <c:axId val="27884977"/>
      </c:scatterChart>
      <c:valAx>
        <c:axId val="25467952"/>
        <c:scaling>
          <c:orientation val="minMax"/>
          <c:max val="2.2"/>
          <c:min val="0.8"/>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FFFFFF"/>
                </a:solidFill>
                <a:latin typeface="Arial"/>
                <a:ea typeface="Arial"/>
                <a:cs typeface="Arial"/>
              </a:defRPr>
            </a:pPr>
          </a:p>
        </c:txPr>
        <c:crossAx val="27884977"/>
        <c:crosses val="autoZero"/>
        <c:crossBetween val="midCat"/>
        <c:dispUnits/>
        <c:majorUnit val="1"/>
      </c:valAx>
      <c:valAx>
        <c:axId val="27884977"/>
        <c:scaling>
          <c:orientation val="minMax"/>
          <c:min val="2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467952"/>
        <c:crosses val="autoZero"/>
        <c:crossBetween val="midCat"/>
        <c:dispUnits/>
        <c:majorUnit val="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Survival Curve</a:t>
            </a:r>
          </a:p>
        </c:rich>
      </c:tx>
      <c:layout>
        <c:manualLayout>
          <c:xMode val="factor"/>
          <c:yMode val="factor"/>
          <c:x val="0.0125"/>
          <c:y val="0.00925"/>
        </c:manualLayout>
      </c:layout>
      <c:spPr>
        <a:noFill/>
        <a:ln>
          <a:noFill/>
        </a:ln>
      </c:spPr>
    </c:title>
    <c:plotArea>
      <c:layout>
        <c:manualLayout>
          <c:xMode val="edge"/>
          <c:yMode val="edge"/>
          <c:x val="0.06525"/>
          <c:y val="0.138"/>
          <c:w val="0.60175"/>
          <c:h val="0.7325"/>
        </c:manualLayout>
      </c:layout>
      <c:lineChart>
        <c:grouping val="standard"/>
        <c:varyColors val="0"/>
        <c:ser>
          <c:idx val="0"/>
          <c:order val="0"/>
          <c:tx>
            <c:strRef>
              <c:f>'Survival Curve'!$I$7</c:f>
              <c:strCache>
                <c:ptCount val="1"/>
                <c:pt idx="0">
                  <c:v>Cumulative Surv. Prob.</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'Survival Curve'!$I$8:$I$18</c:f>
              <c:numCache/>
            </c:numRef>
          </c:val>
          <c:smooth val="0"/>
        </c:ser>
        <c:ser>
          <c:idx val="1"/>
          <c:order val="1"/>
          <c:tx>
            <c:strRef>
              <c:f>'Survival Curve'!$J$7</c:f>
              <c:strCache>
                <c:ptCount val="1"/>
                <c:pt idx="0">
                  <c:v>95% Lower Bound</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'Survival Curve'!$J$8:$J$18</c:f>
              <c:numCache/>
            </c:numRef>
          </c:val>
          <c:smooth val="0"/>
        </c:ser>
        <c:ser>
          <c:idx val="2"/>
          <c:order val="2"/>
          <c:tx>
            <c:strRef>
              <c:f>'Survival Curve'!$K$7</c:f>
              <c:strCache>
                <c:ptCount val="1"/>
                <c:pt idx="0">
                  <c:v>95% Upper Bound</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'Survival Curve'!$K$8:$K$18</c:f>
              <c:numCache/>
            </c:numRef>
          </c:val>
          <c:smooth val="0"/>
        </c:ser>
        <c:marker val="1"/>
        <c:axId val="49638202"/>
        <c:axId val="44090635"/>
      </c:lineChart>
      <c:catAx>
        <c:axId val="4963820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Time Period</a:t>
                </a:r>
              </a:p>
            </c:rich>
          </c:tx>
          <c:layout>
            <c:manualLayout>
              <c:xMode val="factor"/>
              <c:yMode val="factor"/>
              <c:x val="-0.012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090635"/>
        <c:crosses val="autoZero"/>
        <c:auto val="1"/>
        <c:lblOffset val="100"/>
        <c:tickLblSkip val="1"/>
        <c:noMultiLvlLbl val="0"/>
      </c:catAx>
      <c:valAx>
        <c:axId val="44090635"/>
        <c:scaling>
          <c:orientation val="minMax"/>
          <c:max val="1"/>
        </c:scaling>
        <c:axPos val="l"/>
        <c:title>
          <c:tx>
            <c:rich>
              <a:bodyPr vert="horz" rot="-5400000" anchor="ctr"/>
              <a:lstStyle/>
              <a:p>
                <a:pPr algn="ctr">
                  <a:defRPr/>
                </a:pPr>
                <a:r>
                  <a:rPr lang="en-US" cap="none" sz="1100" b="1" i="0" u="none" baseline="0">
                    <a:solidFill>
                      <a:srgbClr val="000000"/>
                    </a:solidFill>
                    <a:latin typeface="Arial"/>
                    <a:ea typeface="Arial"/>
                    <a:cs typeface="Arial"/>
                  </a:rPr>
                  <a:t>Survival Probability</a:t>
                </a:r>
              </a:p>
            </c:rich>
          </c:tx>
          <c:layout>
            <c:manualLayout>
              <c:xMode val="factor"/>
              <c:yMode val="factor"/>
              <c:x val="-0.01775"/>
              <c:y val="-0.002"/>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crossAx val="49638202"/>
        <c:crossesAt val="1"/>
        <c:crossBetween val="between"/>
        <c:dispUnits/>
      </c:valAx>
      <c:spPr>
        <a:solidFill>
          <a:srgbClr val="C0C0C0"/>
        </a:solidFill>
        <a:ln w="12700">
          <a:solidFill>
            <a:srgbClr val="808080"/>
          </a:solidFill>
        </a:ln>
      </c:spPr>
    </c:plotArea>
    <c:legend>
      <c:legendPos val="r"/>
      <c:layout>
        <c:manualLayout>
          <c:xMode val="edge"/>
          <c:yMode val="edge"/>
          <c:x val="0.69525"/>
          <c:y val="0.28825"/>
          <c:w val="0.30475"/>
          <c:h val="0.35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53</xdr:row>
      <xdr:rowOff>57150</xdr:rowOff>
    </xdr:from>
    <xdr:to>
      <xdr:col>12</xdr:col>
      <xdr:colOff>409575</xdr:colOff>
      <xdr:row>69</xdr:row>
      <xdr:rowOff>9525</xdr:rowOff>
    </xdr:to>
    <xdr:sp>
      <xdr:nvSpPr>
        <xdr:cNvPr id="1" name="Rectangle 23"/>
        <xdr:cNvSpPr>
          <a:spLocks/>
        </xdr:cNvSpPr>
      </xdr:nvSpPr>
      <xdr:spPr>
        <a:xfrm>
          <a:off x="190500" y="8610600"/>
          <a:ext cx="9258300" cy="2543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Variability in the data can be quantified from the </a:t>
          </a:r>
          <a:r>
            <a:rPr lang="en-US" cap="none" sz="1400" b="1" i="0" u="none" baseline="0">
              <a:solidFill>
                <a:srgbClr val="00ABEA"/>
              </a:solidFill>
              <a:latin typeface="Arial"/>
              <a:ea typeface="Arial"/>
              <a:cs typeface="Arial"/>
            </a:rPr>
            <a:t>variance</a:t>
          </a:r>
          <a:r>
            <a:rPr lang="en-US" cap="none" sz="1200" b="0" i="0" u="none" baseline="0">
              <a:solidFill>
                <a:srgbClr val="000000"/>
              </a:solidFill>
              <a:latin typeface="Arial"/>
              <a:ea typeface="Arial"/>
              <a:cs typeface="Arial"/>
            </a:rPr>
            <a:t>, which basically calculates the average distance between each individual value and the mean (the x with the "bar" over it).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400" b="1" i="0" u="none" baseline="0">
              <a:solidFill>
                <a:srgbClr val="00ABEA"/>
              </a:solidFill>
              <a:latin typeface="Arial"/>
              <a:ea typeface="Arial"/>
              <a:cs typeface="Arial"/>
            </a:rPr>
            <a:t>Standard deviation</a:t>
          </a:r>
          <a:r>
            <a:rPr lang="en-US" cap="none" sz="1200" b="0" i="0" u="none" baseline="0">
              <a:solidFill>
                <a:srgbClr val="000000"/>
              </a:solidFill>
              <a:latin typeface="Arial"/>
              <a:ea typeface="Arial"/>
              <a:cs typeface="Arial"/>
            </a:rPr>
            <a:t> is just the square root of the variance, and it is convenient because the mean </a:t>
          </a:r>
          <a:r>
            <a:rPr lang="en-US" cap="none" sz="1200" b="0" i="0" u="sng"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1 SD captures 68% of the observations, and the mean </a:t>
          </a:r>
          <a:r>
            <a:rPr lang="en-US" cap="none" sz="1200" b="0" i="0" u="sng"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2 SD captures 95% of the observations.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Note the functions that are used to calculate variance and SD in Excel. Then compare the standard deviations for datasets 1 and 2, and see how these affect the shape of the frequency distributions. Data 
</a:t>
          </a:r>
          <a:r>
            <a:rPr lang="en-US" cap="none" sz="2000" b="0" i="0" u="none" baseline="0">
              <a:solidFill>
                <a:srgbClr val="000000"/>
              </a:solidFill>
              <a:latin typeface="Arial"/>
              <a:ea typeface="Arial"/>
              <a:cs typeface="Arial"/>
            </a:rPr>
            <a:t>
</a:t>
          </a:r>
        </a:p>
      </xdr:txBody>
    </xdr:sp>
    <xdr:clientData/>
  </xdr:twoCellAnchor>
  <xdr:twoCellAnchor>
    <xdr:from>
      <xdr:col>4</xdr:col>
      <xdr:colOff>552450</xdr:colOff>
      <xdr:row>63</xdr:row>
      <xdr:rowOff>66675</xdr:rowOff>
    </xdr:from>
    <xdr:to>
      <xdr:col>5</xdr:col>
      <xdr:colOff>142875</xdr:colOff>
      <xdr:row>65</xdr:row>
      <xdr:rowOff>0</xdr:rowOff>
    </xdr:to>
    <xdr:sp>
      <xdr:nvSpPr>
        <xdr:cNvPr id="2" name="Line 38"/>
        <xdr:cNvSpPr>
          <a:spLocks/>
        </xdr:cNvSpPr>
      </xdr:nvSpPr>
      <xdr:spPr>
        <a:xfrm flipV="1">
          <a:off x="3552825" y="10239375"/>
          <a:ext cx="1809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63</xdr:row>
      <xdr:rowOff>66675</xdr:rowOff>
    </xdr:from>
    <xdr:to>
      <xdr:col>5</xdr:col>
      <xdr:colOff>247650</xdr:colOff>
      <xdr:row>65</xdr:row>
      <xdr:rowOff>57150</xdr:rowOff>
    </xdr:to>
    <xdr:sp>
      <xdr:nvSpPr>
        <xdr:cNvPr id="3" name="Line 39"/>
        <xdr:cNvSpPr>
          <a:spLocks/>
        </xdr:cNvSpPr>
      </xdr:nvSpPr>
      <xdr:spPr>
        <a:xfrm>
          <a:off x="3733800" y="10239375"/>
          <a:ext cx="1047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61</xdr:row>
      <xdr:rowOff>85725</xdr:rowOff>
    </xdr:from>
    <xdr:to>
      <xdr:col>5</xdr:col>
      <xdr:colOff>381000</xdr:colOff>
      <xdr:row>65</xdr:row>
      <xdr:rowOff>28575</xdr:rowOff>
    </xdr:to>
    <xdr:sp>
      <xdr:nvSpPr>
        <xdr:cNvPr id="4" name="Line 40"/>
        <xdr:cNvSpPr>
          <a:spLocks/>
        </xdr:cNvSpPr>
      </xdr:nvSpPr>
      <xdr:spPr>
        <a:xfrm flipV="1">
          <a:off x="3838575" y="9934575"/>
          <a:ext cx="1333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61</xdr:row>
      <xdr:rowOff>104775</xdr:rowOff>
    </xdr:from>
    <xdr:to>
      <xdr:col>7</xdr:col>
      <xdr:colOff>438150</xdr:colOff>
      <xdr:row>61</xdr:row>
      <xdr:rowOff>104775</xdr:rowOff>
    </xdr:to>
    <xdr:sp>
      <xdr:nvSpPr>
        <xdr:cNvPr id="5" name="Line 41"/>
        <xdr:cNvSpPr>
          <a:spLocks/>
        </xdr:cNvSpPr>
      </xdr:nvSpPr>
      <xdr:spPr>
        <a:xfrm>
          <a:off x="3962400" y="99536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33</xdr:row>
      <xdr:rowOff>66675</xdr:rowOff>
    </xdr:from>
    <xdr:to>
      <xdr:col>8</xdr:col>
      <xdr:colOff>314325</xdr:colOff>
      <xdr:row>47</xdr:row>
      <xdr:rowOff>28575</xdr:rowOff>
    </xdr:to>
    <xdr:graphicFrame>
      <xdr:nvGraphicFramePr>
        <xdr:cNvPr id="6" name="Chart 4"/>
        <xdr:cNvGraphicFramePr/>
      </xdr:nvGraphicFramePr>
      <xdr:xfrm>
        <a:off x="942975" y="5534025"/>
        <a:ext cx="4733925" cy="209550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24</xdr:row>
      <xdr:rowOff>85725</xdr:rowOff>
    </xdr:from>
    <xdr:to>
      <xdr:col>6</xdr:col>
      <xdr:colOff>571500</xdr:colOff>
      <xdr:row>38</xdr:row>
      <xdr:rowOff>47625</xdr:rowOff>
    </xdr:to>
    <xdr:sp>
      <xdr:nvSpPr>
        <xdr:cNvPr id="7" name="Freeform 5"/>
        <xdr:cNvSpPr>
          <a:spLocks/>
        </xdr:cNvSpPr>
      </xdr:nvSpPr>
      <xdr:spPr>
        <a:xfrm>
          <a:off x="3667125" y="4181475"/>
          <a:ext cx="1085850" cy="2095500"/>
        </a:xfrm>
        <a:custGeom>
          <a:pathLst>
            <a:path h="234" w="118">
              <a:moveTo>
                <a:pt x="0" y="0"/>
              </a:moveTo>
              <a:cubicBezTo>
                <a:pt x="47" y="34"/>
                <a:pt x="94" y="68"/>
                <a:pt x="106" y="107"/>
              </a:cubicBezTo>
              <a:cubicBezTo>
                <a:pt x="118" y="146"/>
                <a:pt x="95" y="190"/>
                <a:pt x="72" y="234"/>
              </a:cubicBezTo>
            </a:path>
          </a:pathLst>
        </a:cu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47</xdr:row>
      <xdr:rowOff>104775</xdr:rowOff>
    </xdr:from>
    <xdr:to>
      <xdr:col>6</xdr:col>
      <xdr:colOff>142875</xdr:colOff>
      <xdr:row>47</xdr:row>
      <xdr:rowOff>104775</xdr:rowOff>
    </xdr:to>
    <xdr:sp>
      <xdr:nvSpPr>
        <xdr:cNvPr id="8" name="Line 6"/>
        <xdr:cNvSpPr>
          <a:spLocks/>
        </xdr:cNvSpPr>
      </xdr:nvSpPr>
      <xdr:spPr>
        <a:xfrm>
          <a:off x="2886075" y="7705725"/>
          <a:ext cx="1438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50</xdr:row>
      <xdr:rowOff>104775</xdr:rowOff>
    </xdr:from>
    <xdr:to>
      <xdr:col>7</xdr:col>
      <xdr:colOff>200025</xdr:colOff>
      <xdr:row>50</xdr:row>
      <xdr:rowOff>104775</xdr:rowOff>
    </xdr:to>
    <xdr:sp>
      <xdr:nvSpPr>
        <xdr:cNvPr id="9" name="Line 7"/>
        <xdr:cNvSpPr>
          <a:spLocks/>
        </xdr:cNvSpPr>
      </xdr:nvSpPr>
      <xdr:spPr>
        <a:xfrm>
          <a:off x="2143125" y="8181975"/>
          <a:ext cx="28289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34</xdr:row>
      <xdr:rowOff>47625</xdr:rowOff>
    </xdr:from>
    <xdr:to>
      <xdr:col>5</xdr:col>
      <xdr:colOff>19050</xdr:colOff>
      <xdr:row>52</xdr:row>
      <xdr:rowOff>57150</xdr:rowOff>
    </xdr:to>
    <xdr:sp>
      <xdr:nvSpPr>
        <xdr:cNvPr id="10" name="Line 8"/>
        <xdr:cNvSpPr>
          <a:spLocks/>
        </xdr:cNvSpPr>
      </xdr:nvSpPr>
      <xdr:spPr>
        <a:xfrm>
          <a:off x="3600450" y="5667375"/>
          <a:ext cx="9525"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171450</xdr:colOff>
      <xdr:row>48</xdr:row>
      <xdr:rowOff>9525</xdr:rowOff>
    </xdr:from>
    <xdr:ext cx="742950" cy="180975"/>
    <xdr:sp>
      <xdr:nvSpPr>
        <xdr:cNvPr id="11" name="Text Box 9"/>
        <xdr:cNvSpPr txBox="1">
          <a:spLocks noChangeArrowheads="1"/>
        </xdr:cNvSpPr>
      </xdr:nvSpPr>
      <xdr:spPr>
        <a:xfrm>
          <a:off x="3171825" y="7762875"/>
          <a:ext cx="742950" cy="180975"/>
        </a:xfrm>
        <a:prstGeom prst="rect">
          <a:avLst/>
        </a:prstGeom>
        <a:solidFill>
          <a:srgbClr val="FCF305"/>
        </a:solidFill>
        <a:ln w="9525" cmpd="sng">
          <a:noFill/>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+/- 1 SD =68%</a:t>
          </a:r>
        </a:p>
      </xdr:txBody>
    </xdr:sp>
    <xdr:clientData/>
  </xdr:oneCellAnchor>
  <xdr:oneCellAnchor>
    <xdr:from>
      <xdr:col>4</xdr:col>
      <xdr:colOff>190500</xdr:colOff>
      <xdr:row>51</xdr:row>
      <xdr:rowOff>0</xdr:rowOff>
    </xdr:from>
    <xdr:ext cx="742950" cy="171450"/>
    <xdr:sp>
      <xdr:nvSpPr>
        <xdr:cNvPr id="12" name="Text Box 10"/>
        <xdr:cNvSpPr txBox="1">
          <a:spLocks noChangeArrowheads="1"/>
        </xdr:cNvSpPr>
      </xdr:nvSpPr>
      <xdr:spPr>
        <a:xfrm>
          <a:off x="3190875" y="8229600"/>
          <a:ext cx="742950" cy="171450"/>
        </a:xfrm>
        <a:prstGeom prst="rect">
          <a:avLst/>
        </a:prstGeom>
        <a:solidFill>
          <a:srgbClr val="FCF305"/>
        </a:solidFill>
        <a:ln w="9525" cmpd="sng">
          <a:noFill/>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+/- 2 SD =95%</a:t>
          </a:r>
        </a:p>
      </xdr:txBody>
    </xdr:sp>
    <xdr:clientData/>
  </xdr:oneCellAnchor>
  <xdr:twoCellAnchor>
    <xdr:from>
      <xdr:col>15</xdr:col>
      <xdr:colOff>76200</xdr:colOff>
      <xdr:row>24</xdr:row>
      <xdr:rowOff>85725</xdr:rowOff>
    </xdr:from>
    <xdr:to>
      <xdr:col>16</xdr:col>
      <xdr:colOff>571500</xdr:colOff>
      <xdr:row>38</xdr:row>
      <xdr:rowOff>47625</xdr:rowOff>
    </xdr:to>
    <xdr:sp>
      <xdr:nvSpPr>
        <xdr:cNvPr id="13" name="Freeform 12"/>
        <xdr:cNvSpPr>
          <a:spLocks/>
        </xdr:cNvSpPr>
      </xdr:nvSpPr>
      <xdr:spPr>
        <a:xfrm>
          <a:off x="10887075" y="4181475"/>
          <a:ext cx="1085850" cy="2095500"/>
        </a:xfrm>
        <a:custGeom>
          <a:pathLst>
            <a:path h="234" w="118">
              <a:moveTo>
                <a:pt x="0" y="0"/>
              </a:moveTo>
              <a:cubicBezTo>
                <a:pt x="47" y="34"/>
                <a:pt x="94" y="68"/>
                <a:pt x="106" y="107"/>
              </a:cubicBezTo>
              <a:cubicBezTo>
                <a:pt x="118" y="146"/>
                <a:pt x="95" y="190"/>
                <a:pt x="72" y="234"/>
              </a:cubicBezTo>
            </a:path>
          </a:pathLst>
        </a:cu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47</xdr:row>
      <xdr:rowOff>104775</xdr:rowOff>
    </xdr:from>
    <xdr:to>
      <xdr:col>14</xdr:col>
      <xdr:colOff>476250</xdr:colOff>
      <xdr:row>47</xdr:row>
      <xdr:rowOff>104775</xdr:rowOff>
    </xdr:to>
    <xdr:sp>
      <xdr:nvSpPr>
        <xdr:cNvPr id="14" name="Line 13"/>
        <xdr:cNvSpPr>
          <a:spLocks/>
        </xdr:cNvSpPr>
      </xdr:nvSpPr>
      <xdr:spPr>
        <a:xfrm flipV="1">
          <a:off x="9934575" y="7705725"/>
          <a:ext cx="7620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457200</xdr:colOff>
      <xdr:row>50</xdr:row>
      <xdr:rowOff>76200</xdr:rowOff>
    </xdr:from>
    <xdr:to>
      <xdr:col>15</xdr:col>
      <xdr:colOff>381000</xdr:colOff>
      <xdr:row>50</xdr:row>
      <xdr:rowOff>76200</xdr:rowOff>
    </xdr:to>
    <xdr:sp>
      <xdr:nvSpPr>
        <xdr:cNvPr id="15" name="Line 14"/>
        <xdr:cNvSpPr>
          <a:spLocks/>
        </xdr:cNvSpPr>
      </xdr:nvSpPr>
      <xdr:spPr>
        <a:xfrm flipV="1">
          <a:off x="9496425" y="8153400"/>
          <a:ext cx="1695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257175</xdr:colOff>
      <xdr:row>48</xdr:row>
      <xdr:rowOff>28575</xdr:rowOff>
    </xdr:from>
    <xdr:ext cx="742950" cy="171450"/>
    <xdr:sp>
      <xdr:nvSpPr>
        <xdr:cNvPr id="16" name="Text Box 16"/>
        <xdr:cNvSpPr txBox="1">
          <a:spLocks noChangeArrowheads="1"/>
        </xdr:cNvSpPr>
      </xdr:nvSpPr>
      <xdr:spPr>
        <a:xfrm>
          <a:off x="9886950" y="7781925"/>
          <a:ext cx="742950" cy="171450"/>
        </a:xfrm>
        <a:prstGeom prst="rect">
          <a:avLst/>
        </a:prstGeom>
        <a:solidFill>
          <a:srgbClr val="FCF305"/>
        </a:solidFill>
        <a:ln w="9525" cmpd="sng">
          <a:noFill/>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+/- 1 SD =68%</a:t>
          </a:r>
        </a:p>
      </xdr:txBody>
    </xdr:sp>
    <xdr:clientData/>
  </xdr:oneCellAnchor>
  <xdr:oneCellAnchor>
    <xdr:from>
      <xdr:col>13</xdr:col>
      <xdr:colOff>247650</xdr:colOff>
      <xdr:row>51</xdr:row>
      <xdr:rowOff>0</xdr:rowOff>
    </xdr:from>
    <xdr:ext cx="742950" cy="171450"/>
    <xdr:sp>
      <xdr:nvSpPr>
        <xdr:cNvPr id="17" name="Text Box 17"/>
        <xdr:cNvSpPr txBox="1">
          <a:spLocks noChangeArrowheads="1"/>
        </xdr:cNvSpPr>
      </xdr:nvSpPr>
      <xdr:spPr>
        <a:xfrm>
          <a:off x="9877425" y="8229600"/>
          <a:ext cx="742950" cy="171450"/>
        </a:xfrm>
        <a:prstGeom prst="rect">
          <a:avLst/>
        </a:prstGeom>
        <a:solidFill>
          <a:srgbClr val="FCF305"/>
        </a:solidFill>
        <a:ln w="9525" cmpd="sng">
          <a:noFill/>
        </a:ln>
      </xdr:spPr>
      <x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+/- 2 SD =95%</a:t>
          </a:r>
        </a:p>
      </xdr:txBody>
    </xdr:sp>
    <xdr:clientData/>
  </xdr:oneCellAnchor>
  <xdr:twoCellAnchor>
    <xdr:from>
      <xdr:col>11</xdr:col>
      <xdr:colOff>123825</xdr:colOff>
      <xdr:row>33</xdr:row>
      <xdr:rowOff>47625</xdr:rowOff>
    </xdr:from>
    <xdr:to>
      <xdr:col>18</xdr:col>
      <xdr:colOff>76200</xdr:colOff>
      <xdr:row>47</xdr:row>
      <xdr:rowOff>9525</xdr:rowOff>
    </xdr:to>
    <xdr:graphicFrame>
      <xdr:nvGraphicFramePr>
        <xdr:cNvPr id="18" name="Chart 19"/>
        <xdr:cNvGraphicFramePr/>
      </xdr:nvGraphicFramePr>
      <xdr:xfrm>
        <a:off x="8467725" y="5514975"/>
        <a:ext cx="4191000" cy="2095500"/>
      </xdr:xfrm>
      <a:graphic>
        <a:graphicData uri="http://schemas.openxmlformats.org/drawingml/2006/chart">
          <c:chart xmlns:c="http://schemas.openxmlformats.org/drawingml/2006/chart" r:id="rId2"/>
        </a:graphicData>
      </a:graphic>
    </xdr:graphicFrame>
    <xdr:clientData/>
  </xdr:twoCellAnchor>
  <xdr:twoCellAnchor>
    <xdr:from>
      <xdr:col>14</xdr:col>
      <xdr:colOff>76200</xdr:colOff>
      <xdr:row>34</xdr:row>
      <xdr:rowOff>47625</xdr:rowOff>
    </xdr:from>
    <xdr:to>
      <xdr:col>14</xdr:col>
      <xdr:colOff>76200</xdr:colOff>
      <xdr:row>52</xdr:row>
      <xdr:rowOff>57150</xdr:rowOff>
    </xdr:to>
    <xdr:sp>
      <xdr:nvSpPr>
        <xdr:cNvPr id="19" name="Line 15"/>
        <xdr:cNvSpPr>
          <a:spLocks/>
        </xdr:cNvSpPr>
      </xdr:nvSpPr>
      <xdr:spPr>
        <a:xfrm>
          <a:off x="10296525" y="5667375"/>
          <a:ext cx="0" cy="2781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1</xdr:row>
      <xdr:rowOff>190500</xdr:rowOff>
    </xdr:from>
    <xdr:to>
      <xdr:col>10</xdr:col>
      <xdr:colOff>114300</xdr:colOff>
      <xdr:row>19</xdr:row>
      <xdr:rowOff>9525</xdr:rowOff>
    </xdr:to>
    <xdr:sp>
      <xdr:nvSpPr>
        <xdr:cNvPr id="20" name="Rectangle 20"/>
        <xdr:cNvSpPr>
          <a:spLocks/>
        </xdr:cNvSpPr>
      </xdr:nvSpPr>
      <xdr:spPr>
        <a:xfrm>
          <a:off x="942975" y="657225"/>
          <a:ext cx="7019925" cy="2686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Many biological characteristics that are measurements follow a </a:t>
          </a:r>
          <a:r>
            <a:rPr lang="en-US" cap="none" sz="1400" b="1" i="0" u="none" baseline="0">
              <a:solidFill>
                <a:srgbClr val="000000"/>
              </a:solidFill>
              <a:latin typeface="Arial"/>
              <a:ea typeface="Arial"/>
              <a:cs typeface="Arial"/>
            </a:rPr>
            <a:t>Normal distribution</a:t>
          </a:r>
          <a:r>
            <a:rPr lang="en-US" cap="none" sz="1200" b="0" i="0" u="none" baseline="0">
              <a:solidFill>
                <a:srgbClr val="000000"/>
              </a:solidFill>
              <a:latin typeface="Arial"/>
              <a:ea typeface="Arial"/>
              <a:cs typeface="Arial"/>
            </a:rPr>
            <a:t> fairly closely, meaning their frequency distributions are bell-shaped and symmetrical around a mean or average value. The shape of the bell will vary between tall &amp; skinny for samples with relatively little variability to short &amp; wide for samples that have a lot of variability. To the right and left in green are two datasets that show values of body mass index (BMI). I can </a:t>
          </a:r>
          <a:r>
            <a:rPr lang="en-US" cap="none" sz="1200" b="1" i="0" u="none" baseline="0">
              <a:solidFill>
                <a:srgbClr val="000000"/>
              </a:solidFill>
              <a:latin typeface="Arial"/>
              <a:ea typeface="Arial"/>
              <a:cs typeface="Arial"/>
            </a:rPr>
            <a:t>graph the </a:t>
          </a:r>
          <a:r>
            <a:rPr lang="en-US" cap="none" sz="1400" b="1" i="0" u="none" baseline="0">
              <a:solidFill>
                <a:srgbClr val="000000"/>
              </a:solidFill>
              <a:latin typeface="Arial"/>
              <a:ea typeface="Arial"/>
              <a:cs typeface="Arial"/>
            </a:rPr>
            <a:t>frequency distribution</a:t>
          </a:r>
          <a:r>
            <a:rPr lang="en-US" cap="none" sz="1200" b="0" i="0" u="none" baseline="0">
              <a:solidFill>
                <a:srgbClr val="000000"/>
              </a:solidFill>
              <a:latin typeface="Arial"/>
              <a:ea typeface="Arial"/>
              <a:cs typeface="Arial"/>
            </a:rPr>
            <a:t> of each dataset by following these steps: 1) select the block of data; 2) click on "Data" from the tool bar above, and choose "Sort"; 3) i indicate that it is to be sorted according to the column the data is located in, and select "Ok." 3) With the data sorted I can easily determine the minimum and maximum values and the frequency of each of value in the range. Put these tallies in the smaller table entitled "Counts for Bar Chart". 4) select the 2 column block of data in the "Counts for Bar Chart" and click on the Graph icon from the toolbar above (the miniature, multicolored vertical bar chart). Indicate a vertical bar chart. </a:t>
          </a:r>
          <a:r>
            <a:rPr lang="en-US" cap="none" sz="1200" b="1" i="0" u="none" baseline="0">
              <a:solidFill>
                <a:srgbClr val="000000"/>
              </a:solidFill>
              <a:latin typeface="Arial"/>
              <a:ea typeface="Arial"/>
              <a:cs typeface="Arial"/>
            </a:rPr>
            <a:t>Note:</a:t>
          </a:r>
          <a:r>
            <a:rPr lang="en-US" cap="none" sz="1200" b="0" i="0" u="none" baseline="0">
              <a:solidFill>
                <a:srgbClr val="000000"/>
              </a:solidFill>
              <a:latin typeface="Arial"/>
              <a:ea typeface="Arial"/>
              <a:cs typeface="Arial"/>
            </a:rPr>
            <a:t> If it graphs the BMI and Frequency as two separate entities, you may have to first create the chart as an "XY Scatter" to indicate that they are related, and then convert the chart to a vertical bar. </a:t>
          </a:r>
          <a:r>
            <a:rPr lang="en-US" cap="none" sz="1400" b="1" i="0" u="none" baseline="0">
              <a:solidFill>
                <a:srgbClr val="000000"/>
              </a:solidFill>
              <a:latin typeface="Arial"/>
              <a:ea typeface="Arial"/>
              <a:cs typeface="Arial"/>
            </a:rPr>
            <a:t>Scroll down</a:t>
          </a:r>
          <a:r>
            <a:rPr lang="en-US" cap="none" sz="1200" b="0" i="0" u="none" baseline="0">
              <a:solidFill>
                <a:srgbClr val="000000"/>
              </a:solidFill>
              <a:latin typeface="Arial"/>
              <a:ea typeface="Arial"/>
              <a:cs typeface="Arial"/>
            </a:rPr>
            <a:t> to view the graph and for information about mean, standard deviation, etc.</a:t>
          </a:r>
        </a:p>
      </xdr:txBody>
    </xdr:sp>
    <xdr:clientData/>
  </xdr:twoCellAnchor>
  <xdr:oneCellAnchor>
    <xdr:from>
      <xdr:col>1</xdr:col>
      <xdr:colOff>0</xdr:colOff>
      <xdr:row>55</xdr:row>
      <xdr:rowOff>0</xdr:rowOff>
    </xdr:from>
    <xdr:ext cx="295275" cy="314325"/>
    <xdr:sp>
      <xdr:nvSpPr>
        <xdr:cNvPr id="21" name="AutoShape 22" descr="Formula"/>
        <xdr:cNvSpPr>
          <a:spLocks noChangeAspect="1"/>
        </xdr:cNvSpPr>
      </xdr:nvSpPr>
      <xdr:spPr>
        <a:xfrm>
          <a:off x="590550" y="8877300"/>
          <a:ext cx="2952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266700</xdr:colOff>
      <xdr:row>53</xdr:row>
      <xdr:rowOff>95250</xdr:rowOff>
    </xdr:from>
    <xdr:to>
      <xdr:col>7</xdr:col>
      <xdr:colOff>247650</xdr:colOff>
      <xdr:row>60</xdr:row>
      <xdr:rowOff>152400</xdr:rowOff>
    </xdr:to>
    <xdr:grpSp>
      <xdr:nvGrpSpPr>
        <xdr:cNvPr id="22" name="Group 32"/>
        <xdr:cNvGrpSpPr>
          <a:grpSpLocks/>
        </xdr:cNvGrpSpPr>
      </xdr:nvGrpSpPr>
      <xdr:grpSpPr>
        <a:xfrm>
          <a:off x="3857625" y="8648700"/>
          <a:ext cx="1162050" cy="1190625"/>
          <a:chOff x="400" y="915"/>
          <a:chExt cx="125" cy="124"/>
        </a:xfrm>
        <a:solidFill>
          <a:srgbClr val="FFFFFF"/>
        </a:solidFill>
      </xdr:grpSpPr>
      <xdr:sp>
        <xdr:nvSpPr>
          <xdr:cNvPr id="23" name="Text Box 28"/>
          <xdr:cNvSpPr txBox="1">
            <a:spLocks noChangeArrowheads="1"/>
          </xdr:cNvSpPr>
        </xdr:nvSpPr>
        <xdr:spPr>
          <a:xfrm>
            <a:off x="400" y="933"/>
            <a:ext cx="91" cy="106"/>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Symbol"/>
                <a:ea typeface="Symbol"/>
                <a:cs typeface="Symbol"/>
              </a:rPr>
              <a:t></a:t>
            </a:r>
            <a:r>
              <a:rPr lang="en-US" cap="none" sz="2000" b="0" i="0" u="none" baseline="0">
                <a:solidFill>
                  <a:srgbClr val="000000"/>
                </a:solidFill>
                <a:latin typeface="Times New Roman"/>
                <a:ea typeface="Times New Roman"/>
                <a:cs typeface="Times New Roman"/>
              </a:rPr>
              <a:t>(x – x)
</a:t>
            </a:r>
            <a:r>
              <a:rPr lang="en-US" cap="none" sz="2000" b="0" i="0" u="none" baseline="0">
                <a:solidFill>
                  <a:srgbClr val="000000"/>
                </a:solidFill>
                <a:latin typeface="Times New Roman"/>
                <a:ea typeface="Times New Roman"/>
                <a:cs typeface="Times New Roman"/>
              </a:rPr>
              <a:t>    n -1
</a:t>
            </a:r>
          </a:p>
        </xdr:txBody>
      </xdr:sp>
      <xdr:sp>
        <xdr:nvSpPr>
          <xdr:cNvPr id="24" name="Text Box 29"/>
          <xdr:cNvSpPr txBox="1">
            <a:spLocks noChangeArrowheads="1"/>
          </xdr:cNvSpPr>
        </xdr:nvSpPr>
        <xdr:spPr>
          <a:xfrm>
            <a:off x="489" y="915"/>
            <a:ext cx="36" cy="48"/>
          </a:xfrm>
          <a:prstGeom prst="rect">
            <a:avLst/>
          </a:prstGeom>
          <a:noFill/>
          <a:ln w="9525" cmpd="sng">
            <a:noFill/>
          </a:ln>
        </xdr:spPr>
        <xdr:txBody>
          <a:bodyPr vertOverflow="clip" wrap="square"/>
          <a:p>
            <a:pPr algn="l">
              <a:defRPr/>
            </a:pPr>
            <a:r>
              <a:rPr lang="en-US" cap="none" sz="1800" b="0" i="0" u="none" baseline="0">
                <a:solidFill>
                  <a:srgbClr val="000000"/>
                </a:solidFill>
                <a:latin typeface="Times New Roman"/>
                <a:ea typeface="Times New Roman"/>
                <a:cs typeface="Times New Roman"/>
              </a:rPr>
              <a:t>2</a:t>
            </a:r>
            <a:r>
              <a:rPr lang="en-US" cap="none" sz="2400" b="0" i="0" u="none" baseline="0">
                <a:solidFill>
                  <a:srgbClr val="000000"/>
                </a:solidFill>
                <a:latin typeface="Times New Roman"/>
                <a:ea typeface="Times New Roman"/>
                <a:cs typeface="Times New Roman"/>
              </a:rPr>
              <a:t>
</a:t>
            </a:r>
          </a:p>
        </xdr:txBody>
      </xdr:sp>
      <xdr:sp>
        <xdr:nvSpPr>
          <xdr:cNvPr id="25" name="Line 30"/>
          <xdr:cNvSpPr>
            <a:spLocks/>
          </xdr:cNvSpPr>
        </xdr:nvSpPr>
        <xdr:spPr>
          <a:xfrm>
            <a:off x="473" y="947"/>
            <a:ext cx="16"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31"/>
          <xdr:cNvSpPr>
            <a:spLocks/>
          </xdr:cNvSpPr>
        </xdr:nvSpPr>
        <xdr:spPr>
          <a:xfrm>
            <a:off x="410" y="975"/>
            <a:ext cx="9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304800</xdr:colOff>
      <xdr:row>60</xdr:row>
      <xdr:rowOff>57150</xdr:rowOff>
    </xdr:from>
    <xdr:to>
      <xdr:col>7</xdr:col>
      <xdr:colOff>276225</xdr:colOff>
      <xdr:row>67</xdr:row>
      <xdr:rowOff>104775</xdr:rowOff>
    </xdr:to>
    <xdr:grpSp>
      <xdr:nvGrpSpPr>
        <xdr:cNvPr id="27" name="Group 33"/>
        <xdr:cNvGrpSpPr>
          <a:grpSpLocks/>
        </xdr:cNvGrpSpPr>
      </xdr:nvGrpSpPr>
      <xdr:grpSpPr>
        <a:xfrm>
          <a:off x="3895725" y="9744075"/>
          <a:ext cx="1152525" cy="1181100"/>
          <a:chOff x="400" y="915"/>
          <a:chExt cx="125" cy="126"/>
        </a:xfrm>
        <a:solidFill>
          <a:srgbClr val="FFFFFF"/>
        </a:solidFill>
      </xdr:grpSpPr>
      <xdr:sp>
        <xdr:nvSpPr>
          <xdr:cNvPr id="28" name="Text Box 34"/>
          <xdr:cNvSpPr txBox="1">
            <a:spLocks noChangeArrowheads="1"/>
          </xdr:cNvSpPr>
        </xdr:nvSpPr>
        <xdr:spPr>
          <a:xfrm>
            <a:off x="400" y="934"/>
            <a:ext cx="91" cy="107"/>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Symbol"/>
                <a:ea typeface="Symbol"/>
                <a:cs typeface="Symbol"/>
              </a:rPr>
              <a:t></a:t>
            </a:r>
            <a:r>
              <a:rPr lang="en-US" cap="none" sz="2000" b="0" i="0" u="none" baseline="0">
                <a:solidFill>
                  <a:srgbClr val="000000"/>
                </a:solidFill>
                <a:latin typeface="Times New Roman"/>
                <a:ea typeface="Times New Roman"/>
                <a:cs typeface="Times New Roman"/>
              </a:rPr>
              <a:t>(x – x)
</a:t>
            </a:r>
            <a:r>
              <a:rPr lang="en-US" cap="none" sz="2000" b="0" i="0" u="none" baseline="0">
                <a:solidFill>
                  <a:srgbClr val="000000"/>
                </a:solidFill>
                <a:latin typeface="Times New Roman"/>
                <a:ea typeface="Times New Roman"/>
                <a:cs typeface="Times New Roman"/>
              </a:rPr>
              <a:t>    n -1
</a:t>
            </a:r>
          </a:p>
        </xdr:txBody>
      </xdr:sp>
      <xdr:sp>
        <xdr:nvSpPr>
          <xdr:cNvPr id="29" name="Text Box 35"/>
          <xdr:cNvSpPr txBox="1">
            <a:spLocks noChangeArrowheads="1"/>
          </xdr:cNvSpPr>
        </xdr:nvSpPr>
        <xdr:spPr>
          <a:xfrm>
            <a:off x="489" y="915"/>
            <a:ext cx="36" cy="48"/>
          </a:xfrm>
          <a:prstGeom prst="rect">
            <a:avLst/>
          </a:prstGeom>
          <a:noFill/>
          <a:ln w="9525" cmpd="sng">
            <a:noFill/>
          </a:ln>
        </xdr:spPr>
        <xdr:txBody>
          <a:bodyPr vertOverflow="clip" wrap="square"/>
          <a:p>
            <a:pPr algn="l">
              <a:defRPr/>
            </a:pPr>
            <a:r>
              <a:rPr lang="en-US" cap="none" sz="1800" b="0" i="0" u="none" baseline="0">
                <a:solidFill>
                  <a:srgbClr val="000000"/>
                </a:solidFill>
                <a:latin typeface="Times New Roman"/>
                <a:ea typeface="Times New Roman"/>
                <a:cs typeface="Times New Roman"/>
              </a:rPr>
              <a:t>2</a:t>
            </a:r>
            <a:r>
              <a:rPr lang="en-US" cap="none" sz="2400" b="0" i="0" u="none" baseline="0">
                <a:solidFill>
                  <a:srgbClr val="000000"/>
                </a:solidFill>
                <a:latin typeface="Times New Roman"/>
                <a:ea typeface="Times New Roman"/>
                <a:cs typeface="Times New Roman"/>
              </a:rPr>
              <a:t>
</a:t>
            </a:r>
          </a:p>
        </xdr:txBody>
      </xdr:sp>
      <xdr:sp>
        <xdr:nvSpPr>
          <xdr:cNvPr id="30" name="Line 36"/>
          <xdr:cNvSpPr>
            <a:spLocks/>
          </xdr:cNvSpPr>
        </xdr:nvSpPr>
        <xdr:spPr>
          <a:xfrm>
            <a:off x="473" y="947"/>
            <a:ext cx="16"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7"/>
          <xdr:cNvSpPr>
            <a:spLocks/>
          </xdr:cNvSpPr>
        </xdr:nvSpPr>
        <xdr:spPr>
          <a:xfrm>
            <a:off x="410" y="975"/>
            <a:ext cx="9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66675</xdr:colOff>
      <xdr:row>0</xdr:row>
      <xdr:rowOff>85725</xdr:rowOff>
    </xdr:from>
    <xdr:to>
      <xdr:col>8</xdr:col>
      <xdr:colOff>400050</xdr:colOff>
      <xdr:row>1</xdr:row>
      <xdr:rowOff>0</xdr:rowOff>
    </xdr:to>
    <xdr:sp>
      <xdr:nvSpPr>
        <xdr:cNvPr id="32" name="Text Box 52"/>
        <xdr:cNvSpPr txBox="1">
          <a:spLocks noChangeArrowheads="1"/>
        </xdr:cNvSpPr>
      </xdr:nvSpPr>
      <xdr:spPr>
        <a:xfrm>
          <a:off x="66675" y="85725"/>
          <a:ext cx="5695950" cy="38100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6411"/>
              </a:solidFill>
              <a:latin typeface="Arial"/>
              <a:ea typeface="Arial"/>
              <a:cs typeface="Arial"/>
            </a:rPr>
            <a:t>The Normal Distribution: Mean, Variance, and Standard Deviation</a:t>
          </a:r>
        </a:p>
      </xdr:txBody>
    </xdr:sp>
    <xdr:clientData/>
  </xdr:twoCellAnchor>
  <xdr:twoCellAnchor>
    <xdr:from>
      <xdr:col>0</xdr:col>
      <xdr:colOff>190500</xdr:colOff>
      <xdr:row>70</xdr:row>
      <xdr:rowOff>38100</xdr:rowOff>
    </xdr:from>
    <xdr:to>
      <xdr:col>12</xdr:col>
      <xdr:colOff>19050</xdr:colOff>
      <xdr:row>79</xdr:row>
      <xdr:rowOff>28575</xdr:rowOff>
    </xdr:to>
    <xdr:sp>
      <xdr:nvSpPr>
        <xdr:cNvPr id="33" name="Text Box 53"/>
        <xdr:cNvSpPr txBox="1">
          <a:spLocks noChangeArrowheads="1"/>
        </xdr:cNvSpPr>
      </xdr:nvSpPr>
      <xdr:spPr>
        <a:xfrm>
          <a:off x="190500" y="11344275"/>
          <a:ext cx="8867775" cy="144780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ABEA"/>
              </a:solidFill>
              <a:latin typeface="Arial"/>
              <a:ea typeface="Arial"/>
              <a:cs typeface="Arial"/>
            </a:rPr>
            <a:t>Using SD versus SEM</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standard deviation from a sample is an estimate of the population SD, e.g. the degree of variability of body weight in the population. The SEM is a measure of the precision of our estimate of the population’s mean. The precision of this estimate will increase as the sample size increases, i.e. the SEM will be narrower with larger samples.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If the purpose is to describe a group of patients, for example, to see if they are typical in their variability one should use SD (e.g. see Tables 2&amp; 3 in Gottlieb et al.: N. Engl. J. Med. 1981; 305:1425-31). However, if the purpose is to estimate the mean in a group or the prevalence of disease, one should use SEM or a confidence interval.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10</xdr:row>
      <xdr:rowOff>57150</xdr:rowOff>
    </xdr:from>
    <xdr:ext cx="6181725" cy="1238250"/>
    <xdr:sp>
      <xdr:nvSpPr>
        <xdr:cNvPr id="1" name="Text Box 1"/>
        <xdr:cNvSpPr txBox="1">
          <a:spLocks noChangeArrowheads="1"/>
        </xdr:cNvSpPr>
      </xdr:nvSpPr>
      <xdr:spPr>
        <a:xfrm>
          <a:off x="76200" y="1600200"/>
          <a:ext cx="6181725" cy="1238250"/>
        </a:xfrm>
        <a:prstGeom prst="rect">
          <a:avLst/>
        </a:prstGeom>
        <a:solidFill>
          <a:srgbClr val="FFFF66"/>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This program uses a random number generator to assign subjects randomly to a group. You need to specify how many groups you want in the first blue cell. You then need to “spark” the random number generator by entering some number (ANY number) in the 2nd blue cell. Enter a number and click outside the cell; this will generate a random number and specify to which group the subject should be assigned, based on how many groups you specified.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20</xdr:row>
      <xdr:rowOff>142875</xdr:rowOff>
    </xdr:from>
    <xdr:to>
      <xdr:col>15</xdr:col>
      <xdr:colOff>400050</xdr:colOff>
      <xdr:row>40</xdr:row>
      <xdr:rowOff>38100</xdr:rowOff>
    </xdr:to>
    <xdr:sp>
      <xdr:nvSpPr>
        <xdr:cNvPr id="1" name="Text Box 1"/>
        <xdr:cNvSpPr txBox="1">
          <a:spLocks noChangeArrowheads="1"/>
        </xdr:cNvSpPr>
      </xdr:nvSpPr>
      <xdr:spPr>
        <a:xfrm>
          <a:off x="3438525" y="3648075"/>
          <a:ext cx="5772150" cy="341947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However</a:t>
          </a:r>
          <a:r>
            <a:rPr lang="en-US" cap="none" sz="1200" b="0" i="0" u="none" baseline="0">
              <a:solidFill>
                <a:srgbClr val="000000"/>
              </a:solidFill>
              <a:latin typeface="Arial"/>
              <a:ea typeface="Arial"/>
              <a:cs typeface="Arial"/>
            </a:rPr>
            <a:t>, suppose these were not two independent 
</a:t>
          </a:r>
          <a:r>
            <a:rPr lang="en-US" cap="none" sz="1200" b="0" i="0" u="none" baseline="0">
              <a:solidFill>
                <a:srgbClr val="000000"/>
              </a:solidFill>
              <a:latin typeface="Arial"/>
              <a:ea typeface="Arial"/>
              <a:cs typeface="Arial"/>
            </a:rPr>
            <a:t>groups of individuals, but a single group whose 
</a:t>
          </a:r>
          <a:r>
            <a:rPr lang="en-US" cap="none" sz="1200" b="0" i="0" u="none" baseline="0">
              <a:solidFill>
                <a:srgbClr val="000000"/>
              </a:solidFill>
              <a:latin typeface="Arial"/>
              <a:ea typeface="Arial"/>
              <a:cs typeface="Arial"/>
            </a:rPr>
            <a:t>BMIs were measured before and after the 4 month 
</a:t>
          </a:r>
          <a:r>
            <a:rPr lang="en-US" cap="none" sz="1200" b="0" i="0" u="none" baseline="0">
              <a:solidFill>
                <a:srgbClr val="000000"/>
              </a:solidFill>
              <a:latin typeface="Arial"/>
              <a:ea typeface="Arial"/>
              <a:cs typeface="Arial"/>
            </a:rPr>
            <a:t>treatment. In other words, the data were "paired" in 
</a:t>
          </a:r>
          <a:r>
            <a:rPr lang="en-US" cap="none" sz="1200" b="0" i="0" u="none" baseline="0">
              <a:solidFill>
                <a:srgbClr val="000000"/>
              </a:solidFill>
              <a:latin typeface="Arial"/>
              <a:ea typeface="Arial"/>
              <a:cs typeface="Arial"/>
            </a:rPr>
            <a:t>the sense that each person acted as their own 
</a:t>
          </a:r>
          <a:r>
            <a:rPr lang="en-US" cap="none" sz="1200" b="0" i="0" u="none" baseline="0">
              <a:solidFill>
                <a:srgbClr val="000000"/>
              </a:solidFill>
              <a:latin typeface="Arial"/>
              <a:ea typeface="Arial"/>
              <a:cs typeface="Arial"/>
            </a:rPr>
            <a:t>control. Much of the "variability" that we are dealing 
</a:t>
          </a:r>
          <a:r>
            <a:rPr lang="en-US" cap="none" sz="1200" b="0" i="0" u="none" baseline="0">
              <a:solidFill>
                <a:srgbClr val="000000"/>
              </a:solidFill>
              <a:latin typeface="Arial"/>
              <a:ea typeface="Arial"/>
              <a:cs typeface="Arial"/>
            </a:rPr>
            <a:t>with in the setting of two independent groups is due
</a:t>
          </a:r>
          <a:r>
            <a:rPr lang="en-US" cap="none" sz="1200" b="0" i="0" u="none" baseline="0">
              <a:solidFill>
                <a:srgbClr val="000000"/>
              </a:solidFill>
              <a:latin typeface="Arial"/>
              <a:ea typeface="Arial"/>
              <a:cs typeface="Arial"/>
            </a:rPr>
            <a:t> to the fact that there is substantial person-to-person 
</a:t>
          </a:r>
          <a:r>
            <a:rPr lang="en-US" cap="none" sz="1200" b="0" i="0" u="none" baseline="0">
              <a:solidFill>
                <a:srgbClr val="000000"/>
              </a:solidFill>
              <a:latin typeface="Arial"/>
              <a:ea typeface="Arial"/>
              <a:cs typeface="Arial"/>
            </a:rPr>
            <a:t>variability to begin with. However, what we are really 
</a:t>
          </a:r>
          <a:r>
            <a:rPr lang="en-US" cap="none" sz="1200" b="0" i="0" u="none" baseline="0">
              <a:solidFill>
                <a:srgbClr val="000000"/>
              </a:solidFill>
              <a:latin typeface="Arial"/>
              <a:ea typeface="Arial"/>
              <a:cs typeface="Arial"/>
            </a:rPr>
            <a:t>interested in is the response to treatment.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In this case, it looks like just about all subjects reduced their BMI somewhat, and if you factor out the person-to-person differences, it looks like the treatment regimen had an effect.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 the unpaired t-test the null hypothesis is that the means are the same, but</a:t>
          </a:r>
          <a:r>
            <a:rPr lang="en-US" cap="none" sz="1200" b="1" i="0" u="none" baseline="0">
              <a:solidFill>
                <a:srgbClr val="000000"/>
              </a:solidFill>
              <a:latin typeface="Arial"/>
              <a:ea typeface="Arial"/>
              <a:cs typeface="Arial"/>
            </a:rPr>
            <a:t> in a paired t-test the null hypothesis is that the mean difference between the pairs is zero</a:t>
          </a:r>
          <a:r>
            <a:rPr lang="en-US" cap="none" sz="1200" b="0" i="0" u="none" baseline="0">
              <a:solidFill>
                <a:srgbClr val="000000"/>
              </a:solidFill>
              <a:latin typeface="Arial"/>
              <a:ea typeface="Arial"/>
              <a:cs typeface="Arial"/>
            </a:rPr>
            <a:t>.
</a:t>
          </a:r>
        </a:p>
      </xdr:txBody>
    </xdr:sp>
    <xdr:clientData/>
  </xdr:twoCellAnchor>
  <xdr:twoCellAnchor>
    <xdr:from>
      <xdr:col>0</xdr:col>
      <xdr:colOff>104775</xdr:colOff>
      <xdr:row>0</xdr:row>
      <xdr:rowOff>76200</xdr:rowOff>
    </xdr:from>
    <xdr:to>
      <xdr:col>3</xdr:col>
      <xdr:colOff>161925</xdr:colOff>
      <xdr:row>0</xdr:row>
      <xdr:rowOff>381000</xdr:rowOff>
    </xdr:to>
    <xdr:sp>
      <xdr:nvSpPr>
        <xdr:cNvPr id="2" name="Text Box 3"/>
        <xdr:cNvSpPr txBox="1">
          <a:spLocks noChangeArrowheads="1"/>
        </xdr:cNvSpPr>
      </xdr:nvSpPr>
      <xdr:spPr>
        <a:xfrm>
          <a:off x="104775" y="76200"/>
          <a:ext cx="1828800" cy="30480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0" i="0" u="none" baseline="0">
              <a:solidFill>
                <a:srgbClr val="006411"/>
              </a:solidFill>
              <a:latin typeface="Arial"/>
              <a:ea typeface="Arial"/>
              <a:cs typeface="Arial"/>
            </a:rPr>
            <a:t>T-Tests</a:t>
          </a:r>
        </a:p>
      </xdr:txBody>
    </xdr:sp>
    <xdr:clientData/>
  </xdr:twoCellAnchor>
  <xdr:twoCellAnchor>
    <xdr:from>
      <xdr:col>4</xdr:col>
      <xdr:colOff>314325</xdr:colOff>
      <xdr:row>2</xdr:row>
      <xdr:rowOff>9525</xdr:rowOff>
    </xdr:from>
    <xdr:to>
      <xdr:col>16</xdr:col>
      <xdr:colOff>371475</xdr:colOff>
      <xdr:row>18</xdr:row>
      <xdr:rowOff>85725</xdr:rowOff>
    </xdr:to>
    <xdr:sp>
      <xdr:nvSpPr>
        <xdr:cNvPr id="3" name="Text Box 4"/>
        <xdr:cNvSpPr txBox="1">
          <a:spLocks noChangeArrowheads="1"/>
        </xdr:cNvSpPr>
      </xdr:nvSpPr>
      <xdr:spPr>
        <a:xfrm>
          <a:off x="2847975" y="647700"/>
          <a:ext cx="6924675" cy="26289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Consider the values of body mass index for the two groups to the left; group1 was untreated &amp; group 2 represents values in a group that was treated with a regimen of diet and exercise for 4 months. There is variability from person to person. Values range from 22-34, and there is considerable overlap between the two groups.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Not suprisingly, when I perform an 
</a:t>
          </a:r>
          <a:r>
            <a:rPr lang="en-US" cap="none" sz="1200" b="0" i="0" u="none" baseline="0">
              <a:solidFill>
                <a:srgbClr val="000000"/>
              </a:solidFill>
              <a:latin typeface="Arial"/>
              <a:ea typeface="Arial"/>
              <a:cs typeface="Arial"/>
            </a:rPr>
            <a:t>unpaired t-test on these data, the
</a:t>
          </a:r>
          <a:r>
            <a:rPr lang="en-US" cap="none" sz="1200" b="0" i="0" u="none" baseline="0">
              <a:solidFill>
                <a:srgbClr val="000000"/>
              </a:solidFill>
              <a:latin typeface="Arial"/>
              <a:ea typeface="Arial"/>
              <a:cs typeface="Arial"/>
            </a:rPr>
            <a:t> differences are not statistically 
</a:t>
          </a:r>
          <a:r>
            <a:rPr lang="en-US" cap="none" sz="1200" b="0" i="0" u="none" baseline="0">
              <a:solidFill>
                <a:srgbClr val="000000"/>
              </a:solidFill>
              <a:latin typeface="Arial"/>
              <a:ea typeface="Arial"/>
              <a:cs typeface="Arial"/>
            </a:rPr>
            <a:t>significant (p=0.18).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8</xdr:col>
      <xdr:colOff>419100</xdr:colOff>
      <xdr:row>6</xdr:row>
      <xdr:rowOff>0</xdr:rowOff>
    </xdr:from>
    <xdr:to>
      <xdr:col>12</xdr:col>
      <xdr:colOff>466725</xdr:colOff>
      <xdr:row>18</xdr:row>
      <xdr:rowOff>0</xdr:rowOff>
    </xdr:to>
    <xdr:grpSp>
      <xdr:nvGrpSpPr>
        <xdr:cNvPr id="4" name="Group 24"/>
        <xdr:cNvGrpSpPr>
          <a:grpSpLocks/>
        </xdr:cNvGrpSpPr>
      </xdr:nvGrpSpPr>
      <xdr:grpSpPr>
        <a:xfrm>
          <a:off x="5391150" y="1247775"/>
          <a:ext cx="2409825" cy="1943100"/>
          <a:chOff x="344" y="110"/>
          <a:chExt cx="294" cy="253"/>
        </a:xfrm>
        <a:solidFill>
          <a:srgbClr val="FFFFFF"/>
        </a:solidFill>
      </xdr:grpSpPr>
      <xdr:graphicFrame>
        <xdr:nvGraphicFramePr>
          <xdr:cNvPr id="5" name="Chart 6"/>
          <xdr:cNvGraphicFramePr/>
        </xdr:nvGraphicFramePr>
        <xdr:xfrm>
          <a:off x="344" y="110"/>
          <a:ext cx="294" cy="253"/>
        </xdr:xfrm>
        <a:graphic>
          <a:graphicData uri="http://schemas.openxmlformats.org/drawingml/2006/chart">
            <c:chart xmlns:c="http://schemas.openxmlformats.org/drawingml/2006/chart" r:id="rId1"/>
          </a:graphicData>
        </a:graphic>
      </xdr:graphicFrame>
      <xdr:grpSp>
        <xdr:nvGrpSpPr>
          <xdr:cNvPr id="6" name="Group 23"/>
          <xdr:cNvGrpSpPr>
            <a:grpSpLocks/>
          </xdr:cNvGrpSpPr>
        </xdr:nvGrpSpPr>
        <xdr:grpSpPr>
          <a:xfrm>
            <a:off x="545" y="168"/>
            <a:ext cx="6" cy="135"/>
            <a:chOff x="716" y="165"/>
            <a:chExt cx="6" cy="135"/>
          </a:xfrm>
          <a:solidFill>
            <a:srgbClr val="FFFFFF"/>
          </a:solidFill>
        </xdr:grpSpPr>
        <xdr:sp>
          <xdr:nvSpPr>
            <xdr:cNvPr id="7" name="Freeform 9"/>
            <xdr:cNvSpPr>
              <a:spLocks/>
            </xdr:cNvSpPr>
          </xdr:nvSpPr>
          <xdr:spPr>
            <a:xfrm>
              <a:off x="716" y="284"/>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10"/>
            <xdr:cNvSpPr>
              <a:spLocks/>
            </xdr:cNvSpPr>
          </xdr:nvSpPr>
          <xdr:spPr>
            <a:xfrm>
              <a:off x="716" y="251"/>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11"/>
            <xdr:cNvSpPr>
              <a:spLocks/>
            </xdr:cNvSpPr>
          </xdr:nvSpPr>
          <xdr:spPr>
            <a:xfrm>
              <a:off x="716" y="273"/>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12"/>
            <xdr:cNvSpPr>
              <a:spLocks/>
            </xdr:cNvSpPr>
          </xdr:nvSpPr>
          <xdr:spPr>
            <a:xfrm>
              <a:off x="716" y="186"/>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3"/>
            <xdr:cNvSpPr>
              <a:spLocks/>
            </xdr:cNvSpPr>
          </xdr:nvSpPr>
          <xdr:spPr>
            <a:xfrm>
              <a:off x="716" y="165"/>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Freeform 14"/>
            <xdr:cNvSpPr>
              <a:spLocks/>
            </xdr:cNvSpPr>
          </xdr:nvSpPr>
          <xdr:spPr>
            <a:xfrm>
              <a:off x="716" y="207"/>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Freeform 15"/>
            <xdr:cNvSpPr>
              <a:spLocks/>
            </xdr:cNvSpPr>
          </xdr:nvSpPr>
          <xdr:spPr>
            <a:xfrm>
              <a:off x="716" y="273"/>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Freeform 16"/>
            <xdr:cNvSpPr>
              <a:spLocks/>
            </xdr:cNvSpPr>
          </xdr:nvSpPr>
          <xdr:spPr>
            <a:xfrm>
              <a:off x="716" y="251"/>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Freeform 17"/>
            <xdr:cNvSpPr>
              <a:spLocks/>
            </xdr:cNvSpPr>
          </xdr:nvSpPr>
          <xdr:spPr>
            <a:xfrm>
              <a:off x="716" y="294"/>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Freeform 18"/>
            <xdr:cNvSpPr>
              <a:spLocks/>
            </xdr:cNvSpPr>
          </xdr:nvSpPr>
          <xdr:spPr>
            <a:xfrm>
              <a:off x="716" y="197"/>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Freeform 19"/>
            <xdr:cNvSpPr>
              <a:spLocks/>
            </xdr:cNvSpPr>
          </xdr:nvSpPr>
          <xdr:spPr>
            <a:xfrm>
              <a:off x="716" y="230"/>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Freeform 20"/>
            <xdr:cNvSpPr>
              <a:spLocks/>
            </xdr:cNvSpPr>
          </xdr:nvSpPr>
          <xdr:spPr>
            <a:xfrm>
              <a:off x="716" y="261"/>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Freeform 21"/>
            <xdr:cNvSpPr>
              <a:spLocks/>
            </xdr:cNvSpPr>
          </xdr:nvSpPr>
          <xdr:spPr>
            <a:xfrm>
              <a:off x="716" y="240"/>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Freeform 22"/>
            <xdr:cNvSpPr>
              <a:spLocks/>
            </xdr:cNvSpPr>
          </xdr:nvSpPr>
          <xdr:spPr>
            <a:xfrm>
              <a:off x="716" y="207"/>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xdr:col>
      <xdr:colOff>19050</xdr:colOff>
      <xdr:row>13</xdr:row>
      <xdr:rowOff>57150</xdr:rowOff>
    </xdr:from>
    <xdr:to>
      <xdr:col>5</xdr:col>
      <xdr:colOff>314325</xdr:colOff>
      <xdr:row>20</xdr:row>
      <xdr:rowOff>123825</xdr:rowOff>
    </xdr:to>
    <xdr:sp>
      <xdr:nvSpPr>
        <xdr:cNvPr id="21" name="Line 25"/>
        <xdr:cNvSpPr>
          <a:spLocks/>
        </xdr:cNvSpPr>
      </xdr:nvSpPr>
      <xdr:spPr>
        <a:xfrm flipH="1">
          <a:off x="2552700" y="2438400"/>
          <a:ext cx="962025" cy="11906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257175</xdr:colOff>
      <xdr:row>21</xdr:row>
      <xdr:rowOff>66675</xdr:rowOff>
    </xdr:from>
    <xdr:to>
      <xdr:col>15</xdr:col>
      <xdr:colOff>323850</xdr:colOff>
      <xdr:row>33</xdr:row>
      <xdr:rowOff>76200</xdr:rowOff>
    </xdr:to>
    <xdr:grpSp>
      <xdr:nvGrpSpPr>
        <xdr:cNvPr id="22" name="Group 75"/>
        <xdr:cNvGrpSpPr>
          <a:grpSpLocks/>
        </xdr:cNvGrpSpPr>
      </xdr:nvGrpSpPr>
      <xdr:grpSpPr>
        <a:xfrm>
          <a:off x="7000875" y="3724275"/>
          <a:ext cx="2133600" cy="2219325"/>
          <a:chOff x="750" y="405"/>
          <a:chExt cx="263" cy="204"/>
        </a:xfrm>
        <a:solidFill>
          <a:srgbClr val="FFFFFF"/>
        </a:solidFill>
      </xdr:grpSpPr>
      <xdr:grpSp>
        <xdr:nvGrpSpPr>
          <xdr:cNvPr id="23" name="Group 48"/>
          <xdr:cNvGrpSpPr>
            <a:grpSpLocks/>
          </xdr:cNvGrpSpPr>
        </xdr:nvGrpSpPr>
        <xdr:grpSpPr>
          <a:xfrm>
            <a:off x="750" y="405"/>
            <a:ext cx="263" cy="204"/>
            <a:chOff x="344" y="110"/>
            <a:chExt cx="294" cy="253"/>
          </a:xfrm>
          <a:solidFill>
            <a:srgbClr val="FFFFFF"/>
          </a:solidFill>
        </xdr:grpSpPr>
        <xdr:graphicFrame>
          <xdr:nvGraphicFramePr>
            <xdr:cNvPr id="24" name="Chart 49"/>
            <xdr:cNvGraphicFramePr/>
          </xdr:nvGraphicFramePr>
          <xdr:xfrm>
            <a:off x="344" y="110"/>
            <a:ext cx="294" cy="253"/>
          </xdr:xfrm>
          <a:graphic>
            <a:graphicData uri="http://schemas.openxmlformats.org/drawingml/2006/chart">
              <c:chart xmlns:c="http://schemas.openxmlformats.org/drawingml/2006/chart" r:id="rId2"/>
            </a:graphicData>
          </a:graphic>
        </xdr:graphicFrame>
        <xdr:grpSp>
          <xdr:nvGrpSpPr>
            <xdr:cNvPr id="25" name="Group 50"/>
            <xdr:cNvGrpSpPr>
              <a:grpSpLocks/>
            </xdr:cNvGrpSpPr>
          </xdr:nvGrpSpPr>
          <xdr:grpSpPr>
            <a:xfrm>
              <a:off x="545" y="168"/>
              <a:ext cx="6" cy="135"/>
              <a:chOff x="716" y="165"/>
              <a:chExt cx="6" cy="135"/>
            </a:xfrm>
            <a:solidFill>
              <a:srgbClr val="FFFFFF"/>
            </a:solidFill>
          </xdr:grpSpPr>
          <xdr:sp>
            <xdr:nvSpPr>
              <xdr:cNvPr id="26" name="Freeform 51"/>
              <xdr:cNvSpPr>
                <a:spLocks/>
              </xdr:cNvSpPr>
            </xdr:nvSpPr>
            <xdr:spPr>
              <a:xfrm>
                <a:off x="716" y="284"/>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Freeform 52"/>
              <xdr:cNvSpPr>
                <a:spLocks/>
              </xdr:cNvSpPr>
            </xdr:nvSpPr>
            <xdr:spPr>
              <a:xfrm>
                <a:off x="716" y="251"/>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Freeform 53"/>
              <xdr:cNvSpPr>
                <a:spLocks/>
              </xdr:cNvSpPr>
            </xdr:nvSpPr>
            <xdr:spPr>
              <a:xfrm>
                <a:off x="716" y="273"/>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Freeform 54"/>
              <xdr:cNvSpPr>
                <a:spLocks/>
              </xdr:cNvSpPr>
            </xdr:nvSpPr>
            <xdr:spPr>
              <a:xfrm>
                <a:off x="716" y="186"/>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Freeform 55"/>
              <xdr:cNvSpPr>
                <a:spLocks/>
              </xdr:cNvSpPr>
            </xdr:nvSpPr>
            <xdr:spPr>
              <a:xfrm>
                <a:off x="716" y="165"/>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Freeform 56"/>
              <xdr:cNvSpPr>
                <a:spLocks/>
              </xdr:cNvSpPr>
            </xdr:nvSpPr>
            <xdr:spPr>
              <a:xfrm>
                <a:off x="716" y="207"/>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Freeform 57"/>
              <xdr:cNvSpPr>
                <a:spLocks/>
              </xdr:cNvSpPr>
            </xdr:nvSpPr>
            <xdr:spPr>
              <a:xfrm>
                <a:off x="716" y="273"/>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Freeform 58"/>
              <xdr:cNvSpPr>
                <a:spLocks/>
              </xdr:cNvSpPr>
            </xdr:nvSpPr>
            <xdr:spPr>
              <a:xfrm>
                <a:off x="716" y="251"/>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Freeform 59"/>
              <xdr:cNvSpPr>
                <a:spLocks/>
              </xdr:cNvSpPr>
            </xdr:nvSpPr>
            <xdr:spPr>
              <a:xfrm>
                <a:off x="716" y="294"/>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Freeform 60"/>
              <xdr:cNvSpPr>
                <a:spLocks/>
              </xdr:cNvSpPr>
            </xdr:nvSpPr>
            <xdr:spPr>
              <a:xfrm>
                <a:off x="716" y="197"/>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Freeform 61"/>
              <xdr:cNvSpPr>
                <a:spLocks/>
              </xdr:cNvSpPr>
            </xdr:nvSpPr>
            <xdr:spPr>
              <a:xfrm>
                <a:off x="716" y="230"/>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Freeform 62"/>
              <xdr:cNvSpPr>
                <a:spLocks/>
              </xdr:cNvSpPr>
            </xdr:nvSpPr>
            <xdr:spPr>
              <a:xfrm>
                <a:off x="716" y="261"/>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Freeform 63"/>
              <xdr:cNvSpPr>
                <a:spLocks/>
              </xdr:cNvSpPr>
            </xdr:nvSpPr>
            <xdr:spPr>
              <a:xfrm>
                <a:off x="716" y="240"/>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Freeform 64"/>
              <xdr:cNvSpPr>
                <a:spLocks/>
              </xdr:cNvSpPr>
            </xdr:nvSpPr>
            <xdr:spPr>
              <a:xfrm>
                <a:off x="716" y="207"/>
                <a:ext cx="6" cy="6"/>
              </a:xfrm>
              <a:custGeom>
                <a:pathLst>
                  <a:path h="36" w="36">
                    <a:moveTo>
                      <a:pt x="18" y="0"/>
                    </a:moveTo>
                    <a:lnTo>
                      <a:pt x="36" y="18"/>
                    </a:lnTo>
                    <a:lnTo>
                      <a:pt x="18" y="36"/>
                    </a:lnTo>
                    <a:lnTo>
                      <a:pt x="0" y="18"/>
                    </a:lnTo>
                    <a:lnTo>
                      <a:pt x="18" y="0"/>
                    </a:lnTo>
                    <a:close/>
                  </a:path>
                </a:pathLst>
              </a:cu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40" name="Line 65"/>
          <xdr:cNvSpPr>
            <a:spLocks/>
          </xdr:cNvSpPr>
        </xdr:nvSpPr>
        <xdr:spPr>
          <a:xfrm>
            <a:off x="820" y="442"/>
            <a:ext cx="97" cy="1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66"/>
          <xdr:cNvSpPr>
            <a:spLocks/>
          </xdr:cNvSpPr>
        </xdr:nvSpPr>
        <xdr:spPr>
          <a:xfrm>
            <a:off x="820" y="470"/>
            <a:ext cx="97"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67"/>
          <xdr:cNvSpPr>
            <a:spLocks/>
          </xdr:cNvSpPr>
        </xdr:nvSpPr>
        <xdr:spPr>
          <a:xfrm flipV="1">
            <a:off x="821" y="482"/>
            <a:ext cx="95"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68"/>
          <xdr:cNvSpPr>
            <a:spLocks/>
          </xdr:cNvSpPr>
        </xdr:nvSpPr>
        <xdr:spPr>
          <a:xfrm>
            <a:off x="820" y="493"/>
            <a:ext cx="97" cy="1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4" name="Line 69"/>
          <xdr:cNvSpPr>
            <a:spLocks/>
          </xdr:cNvSpPr>
        </xdr:nvSpPr>
        <xdr:spPr>
          <a:xfrm>
            <a:off x="814" y="504"/>
            <a:ext cx="109"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5" name="Line 70"/>
          <xdr:cNvSpPr>
            <a:spLocks/>
          </xdr:cNvSpPr>
        </xdr:nvSpPr>
        <xdr:spPr>
          <a:xfrm>
            <a:off x="819" y="526"/>
            <a:ext cx="97" cy="1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Line 71"/>
          <xdr:cNvSpPr>
            <a:spLocks/>
          </xdr:cNvSpPr>
        </xdr:nvSpPr>
        <xdr:spPr>
          <a:xfrm>
            <a:off x="822" y="516"/>
            <a:ext cx="106" cy="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 name="Line 72"/>
          <xdr:cNvSpPr>
            <a:spLocks/>
          </xdr:cNvSpPr>
        </xdr:nvSpPr>
        <xdr:spPr>
          <a:xfrm>
            <a:off x="821" y="543"/>
            <a:ext cx="101" cy="1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 name="Line 73"/>
          <xdr:cNvSpPr>
            <a:spLocks/>
          </xdr:cNvSpPr>
        </xdr:nvSpPr>
        <xdr:spPr>
          <a:xfrm>
            <a:off x="817" y="512"/>
            <a:ext cx="104"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9" name="Line 74"/>
          <xdr:cNvSpPr>
            <a:spLocks/>
          </xdr:cNvSpPr>
        </xdr:nvSpPr>
        <xdr:spPr>
          <a:xfrm>
            <a:off x="820" y="522"/>
            <a:ext cx="104" cy="2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200025</xdr:colOff>
      <xdr:row>43</xdr:row>
      <xdr:rowOff>9525</xdr:rowOff>
    </xdr:from>
    <xdr:to>
      <xdr:col>15</xdr:col>
      <xdr:colOff>9525</xdr:colOff>
      <xdr:row>55</xdr:row>
      <xdr:rowOff>104775</xdr:rowOff>
    </xdr:to>
    <xdr:sp>
      <xdr:nvSpPr>
        <xdr:cNvPr id="50" name="Text Box 76"/>
        <xdr:cNvSpPr txBox="1">
          <a:spLocks noChangeArrowheads="1"/>
        </xdr:cNvSpPr>
      </xdr:nvSpPr>
      <xdr:spPr>
        <a:xfrm>
          <a:off x="200025" y="7524750"/>
          <a:ext cx="8620125" cy="203835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A paired t-test can be used in two circumstances: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When doing a "before and after" comparison in each subject or comparing two treatments in each in a clinical trial.
</a:t>
          </a:r>
          <a:r>
            <a:rPr lang="en-US" cap="none" sz="1200" b="0" i="0" u="none" baseline="0">
              <a:solidFill>
                <a:srgbClr val="000000"/>
              </a:solidFill>
              <a:latin typeface="Arial"/>
              <a:ea typeface="Arial"/>
              <a:cs typeface="Arial"/>
            </a:rPr>
            <a:t>    2) In matched case-case control studies it is sometimes possible to make comparisons in pairs. [See the methods section in the case-control study by Herbst et al.: Adenocarcinoma of the vagina: association of maternal stilbesterol therapy with tumor appearance in young women, N. Engl. J. Med 1971; 284:878-883.]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 paired t-test relies on the following </a:t>
          </a:r>
          <a:r>
            <a:rPr lang="en-US" cap="none" sz="1200" b="1" i="0" u="none" baseline="0">
              <a:solidFill>
                <a:srgbClr val="000000"/>
              </a:solidFill>
              <a:latin typeface="Arial"/>
              <a:ea typeface="Arial"/>
              <a:cs typeface="Arial"/>
            </a:rPr>
            <a:t>assumptions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1) The data are quantitative.
</a:t>
          </a:r>
          <a:r>
            <a:rPr lang="en-US" cap="none" sz="1200" b="0" i="0" u="none" baseline="0">
              <a:solidFill>
                <a:srgbClr val="000000"/>
              </a:solidFill>
              <a:latin typeface="Arial"/>
              <a:ea typeface="Arial"/>
              <a:cs typeface="Arial"/>
            </a:rPr>
            <a:t>2) The differences (e.g. after-before) are normally distributed.
</a:t>
          </a:r>
          <a:r>
            <a:rPr lang="en-US" cap="none" sz="1200" b="0" i="0" u="none" baseline="0">
              <a:solidFill>
                <a:srgbClr val="000000"/>
              </a:solidFill>
              <a:latin typeface="Arial"/>
              <a:ea typeface="Arial"/>
              <a:cs typeface="Arial"/>
            </a:rPr>
            <a:t>3) The differences are independent of one another. 
</a:t>
          </a:r>
        </a:p>
      </xdr:txBody>
    </xdr:sp>
    <xdr:clientData/>
  </xdr:twoCellAnchor>
  <xdr:twoCellAnchor>
    <xdr:from>
      <xdr:col>5</xdr:col>
      <xdr:colOff>285750</xdr:colOff>
      <xdr:row>40</xdr:row>
      <xdr:rowOff>123825</xdr:rowOff>
    </xdr:from>
    <xdr:to>
      <xdr:col>11</xdr:col>
      <xdr:colOff>171450</xdr:colOff>
      <xdr:row>42</xdr:row>
      <xdr:rowOff>104775</xdr:rowOff>
    </xdr:to>
    <xdr:sp>
      <xdr:nvSpPr>
        <xdr:cNvPr id="51" name="Text Box 77"/>
        <xdr:cNvSpPr txBox="1">
          <a:spLocks noChangeArrowheads="1"/>
        </xdr:cNvSpPr>
      </xdr:nvSpPr>
      <xdr:spPr>
        <a:xfrm>
          <a:off x="3486150" y="7153275"/>
          <a:ext cx="3429000" cy="3048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 Excel a paired t-test is specified just like an unpaired t-test, except that the last parameter is set to 1.</a:t>
          </a:r>
        </a:p>
      </xdr:txBody>
    </xdr:sp>
    <xdr:clientData/>
  </xdr:twoCellAnchor>
  <xdr:twoCellAnchor>
    <xdr:from>
      <xdr:col>5</xdr:col>
      <xdr:colOff>19050</xdr:colOff>
      <xdr:row>41</xdr:row>
      <xdr:rowOff>95250</xdr:rowOff>
    </xdr:from>
    <xdr:to>
      <xdr:col>5</xdr:col>
      <xdr:colOff>219075</xdr:colOff>
      <xdr:row>41</xdr:row>
      <xdr:rowOff>95250</xdr:rowOff>
    </xdr:to>
    <xdr:sp>
      <xdr:nvSpPr>
        <xdr:cNvPr id="52" name="Line 78"/>
        <xdr:cNvSpPr>
          <a:spLocks/>
        </xdr:cNvSpPr>
      </xdr:nvSpPr>
      <xdr:spPr>
        <a:xfrm flipH="1">
          <a:off x="3219450" y="7286625"/>
          <a:ext cx="2000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8</xdr:row>
      <xdr:rowOff>66675</xdr:rowOff>
    </xdr:from>
    <xdr:to>
      <xdr:col>10</xdr:col>
      <xdr:colOff>19050</xdr:colOff>
      <xdr:row>14</xdr:row>
      <xdr:rowOff>85725</xdr:rowOff>
    </xdr:to>
    <xdr:grpSp>
      <xdr:nvGrpSpPr>
        <xdr:cNvPr id="53" name="Group 91"/>
        <xdr:cNvGrpSpPr>
          <a:grpSpLocks/>
        </xdr:cNvGrpSpPr>
      </xdr:nvGrpSpPr>
      <xdr:grpSpPr>
        <a:xfrm>
          <a:off x="6143625" y="1638300"/>
          <a:ext cx="28575" cy="990600"/>
          <a:chOff x="645" y="173"/>
          <a:chExt cx="4" cy="103"/>
        </a:xfrm>
        <a:solidFill>
          <a:srgbClr val="FFFFFF"/>
        </a:solidFill>
      </xdr:grpSpPr>
      <xdr:sp>
        <xdr:nvSpPr>
          <xdr:cNvPr id="54" name="Freeform 81"/>
          <xdr:cNvSpPr>
            <a:spLocks/>
          </xdr:cNvSpPr>
        </xdr:nvSpPr>
        <xdr:spPr>
          <a:xfrm>
            <a:off x="645" y="179"/>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5" name="Group 90"/>
          <xdr:cNvGrpSpPr>
            <a:grpSpLocks/>
          </xdr:cNvGrpSpPr>
        </xdr:nvGrpSpPr>
        <xdr:grpSpPr>
          <a:xfrm>
            <a:off x="645" y="173"/>
            <a:ext cx="4" cy="103"/>
            <a:chOff x="620" y="173"/>
            <a:chExt cx="4" cy="103"/>
          </a:xfrm>
          <a:solidFill>
            <a:srgbClr val="FFFFFF"/>
          </a:solidFill>
        </xdr:grpSpPr>
        <xdr:sp>
          <xdr:nvSpPr>
            <xdr:cNvPr id="56" name="Freeform 82"/>
            <xdr:cNvSpPr>
              <a:spLocks/>
            </xdr:cNvSpPr>
          </xdr:nvSpPr>
          <xdr:spPr>
            <a:xfrm>
              <a:off x="620" y="173"/>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Freeform 83"/>
            <xdr:cNvSpPr>
              <a:spLocks/>
            </xdr:cNvSpPr>
          </xdr:nvSpPr>
          <xdr:spPr>
            <a:xfrm>
              <a:off x="620" y="189"/>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Freeform 84"/>
            <xdr:cNvSpPr>
              <a:spLocks/>
            </xdr:cNvSpPr>
          </xdr:nvSpPr>
          <xdr:spPr>
            <a:xfrm>
              <a:off x="620" y="199"/>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Freeform 85"/>
            <xdr:cNvSpPr>
              <a:spLocks/>
            </xdr:cNvSpPr>
          </xdr:nvSpPr>
          <xdr:spPr>
            <a:xfrm>
              <a:off x="620" y="210"/>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Freeform 86"/>
            <xdr:cNvSpPr>
              <a:spLocks/>
            </xdr:cNvSpPr>
          </xdr:nvSpPr>
          <xdr:spPr>
            <a:xfrm>
              <a:off x="620" y="224"/>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Freeform 87"/>
            <xdr:cNvSpPr>
              <a:spLocks/>
            </xdr:cNvSpPr>
          </xdr:nvSpPr>
          <xdr:spPr>
            <a:xfrm>
              <a:off x="620" y="238"/>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Freeform 88"/>
            <xdr:cNvSpPr>
              <a:spLocks/>
            </xdr:cNvSpPr>
          </xdr:nvSpPr>
          <xdr:spPr>
            <a:xfrm>
              <a:off x="620" y="253"/>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Freeform 89"/>
            <xdr:cNvSpPr>
              <a:spLocks/>
            </xdr:cNvSpPr>
          </xdr:nvSpPr>
          <xdr:spPr>
            <a:xfrm>
              <a:off x="620" y="273"/>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12</xdr:col>
      <xdr:colOff>85725</xdr:colOff>
      <xdr:row>24</xdr:row>
      <xdr:rowOff>0</xdr:rowOff>
    </xdr:from>
    <xdr:to>
      <xdr:col>12</xdr:col>
      <xdr:colOff>123825</xdr:colOff>
      <xdr:row>29</xdr:row>
      <xdr:rowOff>57150</xdr:rowOff>
    </xdr:to>
    <xdr:grpSp>
      <xdr:nvGrpSpPr>
        <xdr:cNvPr id="64" name="Group 92"/>
        <xdr:cNvGrpSpPr>
          <a:grpSpLocks/>
        </xdr:cNvGrpSpPr>
      </xdr:nvGrpSpPr>
      <xdr:grpSpPr>
        <a:xfrm>
          <a:off x="7419975" y="4181475"/>
          <a:ext cx="28575" cy="981075"/>
          <a:chOff x="645" y="173"/>
          <a:chExt cx="4" cy="103"/>
        </a:xfrm>
        <a:solidFill>
          <a:srgbClr val="FFFFFF"/>
        </a:solidFill>
      </xdr:grpSpPr>
      <xdr:sp>
        <xdr:nvSpPr>
          <xdr:cNvPr id="65" name="Freeform 93"/>
          <xdr:cNvSpPr>
            <a:spLocks/>
          </xdr:cNvSpPr>
        </xdr:nvSpPr>
        <xdr:spPr>
          <a:xfrm>
            <a:off x="645" y="179"/>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66" name="Group 94"/>
          <xdr:cNvGrpSpPr>
            <a:grpSpLocks/>
          </xdr:cNvGrpSpPr>
        </xdr:nvGrpSpPr>
        <xdr:grpSpPr>
          <a:xfrm>
            <a:off x="645" y="173"/>
            <a:ext cx="4" cy="103"/>
            <a:chOff x="620" y="173"/>
            <a:chExt cx="4" cy="103"/>
          </a:xfrm>
          <a:solidFill>
            <a:srgbClr val="FFFFFF"/>
          </a:solidFill>
        </xdr:grpSpPr>
        <xdr:sp>
          <xdr:nvSpPr>
            <xdr:cNvPr id="67" name="Freeform 95"/>
            <xdr:cNvSpPr>
              <a:spLocks/>
            </xdr:cNvSpPr>
          </xdr:nvSpPr>
          <xdr:spPr>
            <a:xfrm>
              <a:off x="620" y="173"/>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Freeform 96"/>
            <xdr:cNvSpPr>
              <a:spLocks/>
            </xdr:cNvSpPr>
          </xdr:nvSpPr>
          <xdr:spPr>
            <a:xfrm>
              <a:off x="620" y="189"/>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Freeform 97"/>
            <xdr:cNvSpPr>
              <a:spLocks/>
            </xdr:cNvSpPr>
          </xdr:nvSpPr>
          <xdr:spPr>
            <a:xfrm>
              <a:off x="620" y="199"/>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Freeform 98"/>
            <xdr:cNvSpPr>
              <a:spLocks/>
            </xdr:cNvSpPr>
          </xdr:nvSpPr>
          <xdr:spPr>
            <a:xfrm>
              <a:off x="620" y="210"/>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Freeform 99"/>
            <xdr:cNvSpPr>
              <a:spLocks/>
            </xdr:cNvSpPr>
          </xdr:nvSpPr>
          <xdr:spPr>
            <a:xfrm>
              <a:off x="620" y="224"/>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Freeform 100"/>
            <xdr:cNvSpPr>
              <a:spLocks/>
            </xdr:cNvSpPr>
          </xdr:nvSpPr>
          <xdr:spPr>
            <a:xfrm>
              <a:off x="620" y="238"/>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Freeform 101"/>
            <xdr:cNvSpPr>
              <a:spLocks/>
            </xdr:cNvSpPr>
          </xdr:nvSpPr>
          <xdr:spPr>
            <a:xfrm>
              <a:off x="620" y="253"/>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Freeform 102"/>
            <xdr:cNvSpPr>
              <a:spLocks/>
            </xdr:cNvSpPr>
          </xdr:nvSpPr>
          <xdr:spPr>
            <a:xfrm>
              <a:off x="620" y="273"/>
              <a:ext cx="4" cy="3"/>
            </a:xfrm>
            <a:custGeom>
              <a:pathLst>
                <a:path h="60" w="60">
                  <a:moveTo>
                    <a:pt x="30" y="0"/>
                  </a:moveTo>
                  <a:lnTo>
                    <a:pt x="60" y="30"/>
                  </a:lnTo>
                  <a:lnTo>
                    <a:pt x="30" y="60"/>
                  </a:lnTo>
                  <a:lnTo>
                    <a:pt x="0" y="30"/>
                  </a:lnTo>
                  <a:lnTo>
                    <a:pt x="30" y="0"/>
                  </a:lnTo>
                  <a:close/>
                </a:path>
              </a:pathLst>
            </a:custGeom>
            <a:solidFill>
              <a:srgbClr val="FF0000"/>
            </a:solid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28</xdr:row>
      <xdr:rowOff>95250</xdr:rowOff>
    </xdr:from>
    <xdr:to>
      <xdr:col>1</xdr:col>
      <xdr:colOff>400050</xdr:colOff>
      <xdr:row>29</xdr:row>
      <xdr:rowOff>152400</xdr:rowOff>
    </xdr:to>
    <xdr:sp>
      <xdr:nvSpPr>
        <xdr:cNvPr id="1" name="Freeform 1"/>
        <xdr:cNvSpPr>
          <a:spLocks/>
        </xdr:cNvSpPr>
      </xdr:nvSpPr>
      <xdr:spPr>
        <a:xfrm>
          <a:off x="733425" y="5029200"/>
          <a:ext cx="276225" cy="219075"/>
        </a:xfrm>
        <a:custGeom>
          <a:pathLst>
            <a:path h="22" w="29">
              <a:moveTo>
                <a:pt x="0" y="2"/>
              </a:moveTo>
              <a:cubicBezTo>
                <a:pt x="9" y="1"/>
                <a:pt x="18" y="0"/>
                <a:pt x="23" y="3"/>
              </a:cubicBezTo>
              <a:cubicBezTo>
                <a:pt x="28" y="6"/>
                <a:pt x="28" y="14"/>
                <a:pt x="29" y="22"/>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13</xdr:row>
      <xdr:rowOff>114300</xdr:rowOff>
    </xdr:from>
    <xdr:to>
      <xdr:col>1</xdr:col>
      <xdr:colOff>476250</xdr:colOff>
      <xdr:row>15</xdr:row>
      <xdr:rowOff>0</xdr:rowOff>
    </xdr:to>
    <xdr:sp>
      <xdr:nvSpPr>
        <xdr:cNvPr id="2" name="Freeform 2"/>
        <xdr:cNvSpPr>
          <a:spLocks/>
        </xdr:cNvSpPr>
      </xdr:nvSpPr>
      <xdr:spPr>
        <a:xfrm>
          <a:off x="809625" y="2447925"/>
          <a:ext cx="276225" cy="209550"/>
        </a:xfrm>
        <a:custGeom>
          <a:pathLst>
            <a:path h="22" w="29">
              <a:moveTo>
                <a:pt x="0" y="2"/>
              </a:moveTo>
              <a:cubicBezTo>
                <a:pt x="9" y="1"/>
                <a:pt x="18" y="0"/>
                <a:pt x="23" y="3"/>
              </a:cubicBezTo>
              <a:cubicBezTo>
                <a:pt x="28" y="6"/>
                <a:pt x="28" y="14"/>
                <a:pt x="29" y="22"/>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29</xdr:row>
      <xdr:rowOff>95250</xdr:rowOff>
    </xdr:from>
    <xdr:to>
      <xdr:col>1</xdr:col>
      <xdr:colOff>552450</xdr:colOff>
      <xdr:row>30</xdr:row>
      <xdr:rowOff>133350</xdr:rowOff>
    </xdr:to>
    <xdr:sp>
      <xdr:nvSpPr>
        <xdr:cNvPr id="3" name="Freeform 3"/>
        <xdr:cNvSpPr>
          <a:spLocks/>
        </xdr:cNvSpPr>
      </xdr:nvSpPr>
      <xdr:spPr>
        <a:xfrm>
          <a:off x="885825" y="5191125"/>
          <a:ext cx="276225" cy="200025"/>
        </a:xfrm>
        <a:custGeom>
          <a:pathLst>
            <a:path h="22" w="29">
              <a:moveTo>
                <a:pt x="0" y="2"/>
              </a:moveTo>
              <a:cubicBezTo>
                <a:pt x="9" y="1"/>
                <a:pt x="18" y="0"/>
                <a:pt x="23" y="3"/>
              </a:cubicBezTo>
              <a:cubicBezTo>
                <a:pt x="28" y="6"/>
                <a:pt x="28" y="14"/>
                <a:pt x="29" y="22"/>
              </a:cubicBezTo>
            </a:path>
          </a:pathLst>
        </a:cu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22</xdr:row>
      <xdr:rowOff>76200</xdr:rowOff>
    </xdr:from>
    <xdr:to>
      <xdr:col>13</xdr:col>
      <xdr:colOff>257175</xdr:colOff>
      <xdr:row>25</xdr:row>
      <xdr:rowOff>114300</xdr:rowOff>
    </xdr:to>
    <xdr:sp>
      <xdr:nvSpPr>
        <xdr:cNvPr id="4" name="Text Box 4"/>
        <xdr:cNvSpPr txBox="1">
          <a:spLocks noChangeArrowheads="1"/>
        </xdr:cNvSpPr>
      </xdr:nvSpPr>
      <xdr:spPr>
        <a:xfrm>
          <a:off x="1943100" y="4038600"/>
          <a:ext cx="6305550" cy="5238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cells in the table below show the estimated number of subjects needed in each group to demonstrate a statistically significant differenence at "p" values ranging from 0.10-0.01 and at varying levels of "power." [Power is the probability of finding a statistically significant difference, assuming it exists, at a given "p" value.]</a:t>
          </a:r>
        </a:p>
      </xdr:txBody>
    </xdr:sp>
    <xdr:clientData/>
  </xdr:twoCellAnchor>
  <xdr:twoCellAnchor>
    <xdr:from>
      <xdr:col>3</xdr:col>
      <xdr:colOff>161925</xdr:colOff>
      <xdr:row>4</xdr:row>
      <xdr:rowOff>85725</xdr:rowOff>
    </xdr:from>
    <xdr:to>
      <xdr:col>8</xdr:col>
      <xdr:colOff>590550</xdr:colOff>
      <xdr:row>10</xdr:row>
      <xdr:rowOff>114300</xdr:rowOff>
    </xdr:to>
    <xdr:sp>
      <xdr:nvSpPr>
        <xdr:cNvPr id="5" name="Text Box 5"/>
        <xdr:cNvSpPr txBox="1">
          <a:spLocks noChangeArrowheads="1"/>
        </xdr:cNvSpPr>
      </xdr:nvSpPr>
      <xdr:spPr>
        <a:xfrm>
          <a:off x="1990725" y="962025"/>
          <a:ext cx="3476625" cy="10001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cells in the table below show the estimated number of subjects needed in each group to demonstrate a statistically significant differenence at "p" values ranging from 0.10-0.01 and at varying levels of "power." [Power is the probability of finding a statistically significant difference, assuming it exists, at a given "p" value.]</a:t>
          </a:r>
        </a:p>
      </xdr:txBody>
    </xdr:sp>
    <xdr:clientData/>
  </xdr:twoCellAnchor>
  <xdr:twoCellAnchor>
    <xdr:from>
      <xdr:col>0</xdr:col>
      <xdr:colOff>76200</xdr:colOff>
      <xdr:row>1</xdr:row>
      <xdr:rowOff>66675</xdr:rowOff>
    </xdr:from>
    <xdr:to>
      <xdr:col>7</xdr:col>
      <xdr:colOff>180975</xdr:colOff>
      <xdr:row>2</xdr:row>
      <xdr:rowOff>161925</xdr:rowOff>
    </xdr:to>
    <xdr:sp>
      <xdr:nvSpPr>
        <xdr:cNvPr id="6" name="Text Box 6"/>
        <xdr:cNvSpPr txBox="1">
          <a:spLocks noChangeArrowheads="1"/>
        </xdr:cNvSpPr>
      </xdr:nvSpPr>
      <xdr:spPr>
        <a:xfrm>
          <a:off x="76200" y="438150"/>
          <a:ext cx="4371975" cy="2571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400" b="0" i="0" u="none" baseline="0">
              <a:solidFill>
                <a:srgbClr val="000000"/>
              </a:solidFill>
              <a:latin typeface="Arial"/>
              <a:ea typeface="Arial"/>
              <a:cs typeface="Arial"/>
            </a:rPr>
            <a:t>Part I - Sample Size Calculations for Means</a:t>
          </a:r>
        </a:p>
      </xdr:txBody>
    </xdr:sp>
    <xdr:clientData/>
  </xdr:twoCellAnchor>
  <xdr:twoCellAnchor>
    <xdr:from>
      <xdr:col>0</xdr:col>
      <xdr:colOff>0</xdr:colOff>
      <xdr:row>20</xdr:row>
      <xdr:rowOff>38100</xdr:rowOff>
    </xdr:from>
    <xdr:to>
      <xdr:col>10</xdr:col>
      <xdr:colOff>85725</xdr:colOff>
      <xdr:row>20</xdr:row>
      <xdr:rowOff>276225</xdr:rowOff>
    </xdr:to>
    <xdr:sp>
      <xdr:nvSpPr>
        <xdr:cNvPr id="7" name="Text Box 8"/>
        <xdr:cNvSpPr txBox="1">
          <a:spLocks noChangeArrowheads="1"/>
        </xdr:cNvSpPr>
      </xdr:nvSpPr>
      <xdr:spPr>
        <a:xfrm>
          <a:off x="0" y="3505200"/>
          <a:ext cx="6181725" cy="2381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400" b="0" i="0" u="none" baseline="0">
              <a:solidFill>
                <a:srgbClr val="000000"/>
              </a:solidFill>
              <a:latin typeface="Arial"/>
              <a:ea typeface="Arial"/>
              <a:cs typeface="Arial"/>
            </a:rPr>
            <a:t>Part II - Sample Size Calculations for a Difference in Proportions (frequency)</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0</xdr:row>
      <xdr:rowOff>104775</xdr:rowOff>
    </xdr:from>
    <xdr:to>
      <xdr:col>19</xdr:col>
      <xdr:colOff>352425</xdr:colOff>
      <xdr:row>13</xdr:row>
      <xdr:rowOff>57150</xdr:rowOff>
    </xdr:to>
    <xdr:graphicFrame>
      <xdr:nvGraphicFramePr>
        <xdr:cNvPr id="1" name="Chart 5"/>
        <xdr:cNvGraphicFramePr/>
      </xdr:nvGraphicFramePr>
      <xdr:xfrm>
        <a:off x="5248275" y="104775"/>
        <a:ext cx="4476750" cy="2781300"/>
      </xdr:xfrm>
      <a:graphic>
        <a:graphicData uri="http://schemas.openxmlformats.org/drawingml/2006/chart">
          <c:chart xmlns:c="http://schemas.openxmlformats.org/drawingml/2006/chart" r:id="rId1"/>
        </a:graphicData>
      </a:graphic>
    </xdr:graphicFrame>
    <xdr:clientData/>
  </xdr:twoCellAnchor>
  <xdr:twoCellAnchor>
    <xdr:from>
      <xdr:col>4</xdr:col>
      <xdr:colOff>171450</xdr:colOff>
      <xdr:row>5</xdr:row>
      <xdr:rowOff>28575</xdr:rowOff>
    </xdr:from>
    <xdr:to>
      <xdr:col>4</xdr:col>
      <xdr:colOff>171450</xdr:colOff>
      <xdr:row>6</xdr:row>
      <xdr:rowOff>152400</xdr:rowOff>
    </xdr:to>
    <xdr:sp>
      <xdr:nvSpPr>
        <xdr:cNvPr id="2" name="Line 6"/>
        <xdr:cNvSpPr>
          <a:spLocks/>
        </xdr:cNvSpPr>
      </xdr:nvSpPr>
      <xdr:spPr>
        <a:xfrm>
          <a:off x="2000250" y="8477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5</xdr:row>
      <xdr:rowOff>28575</xdr:rowOff>
    </xdr:from>
    <xdr:to>
      <xdr:col>3</xdr:col>
      <xdr:colOff>219075</xdr:colOff>
      <xdr:row>6</xdr:row>
      <xdr:rowOff>152400</xdr:rowOff>
    </xdr:to>
    <xdr:sp>
      <xdr:nvSpPr>
        <xdr:cNvPr id="3" name="Line 7"/>
        <xdr:cNvSpPr>
          <a:spLocks/>
        </xdr:cNvSpPr>
      </xdr:nvSpPr>
      <xdr:spPr>
        <a:xfrm>
          <a:off x="1590675" y="8477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5</xdr:row>
      <xdr:rowOff>28575</xdr:rowOff>
    </xdr:from>
    <xdr:to>
      <xdr:col>2</xdr:col>
      <xdr:colOff>276225</xdr:colOff>
      <xdr:row>6</xdr:row>
      <xdr:rowOff>152400</xdr:rowOff>
    </xdr:to>
    <xdr:sp>
      <xdr:nvSpPr>
        <xdr:cNvPr id="4" name="Line 8"/>
        <xdr:cNvSpPr>
          <a:spLocks/>
        </xdr:cNvSpPr>
      </xdr:nvSpPr>
      <xdr:spPr>
        <a:xfrm>
          <a:off x="1190625" y="84772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0</xdr:row>
      <xdr:rowOff>104775</xdr:rowOff>
    </xdr:from>
    <xdr:to>
      <xdr:col>17</xdr:col>
      <xdr:colOff>476250</xdr:colOff>
      <xdr:row>6</xdr:row>
      <xdr:rowOff>38100</xdr:rowOff>
    </xdr:to>
    <xdr:sp>
      <xdr:nvSpPr>
        <xdr:cNvPr id="1" name="Text Box 61"/>
        <xdr:cNvSpPr txBox="1">
          <a:spLocks noChangeArrowheads="1"/>
        </xdr:cNvSpPr>
      </xdr:nvSpPr>
      <xdr:spPr>
        <a:xfrm>
          <a:off x="9420225" y="104775"/>
          <a:ext cx="3238500" cy="1238250"/>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If the observed count is &gt;30, the confidence interval for the observed count is calculated using the Poisson distribution to  approximate the distribution of the observed counts.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observed count is &gt;30, exact confidence limits are calculated using the Poisson function to find the first count that is significantly less than the observed count.</a:t>
          </a:r>
        </a:p>
      </xdr:txBody>
    </xdr:sp>
    <xdr:clientData/>
  </xdr:twoCellAnchor>
  <xdr:twoCellAnchor>
    <xdr:from>
      <xdr:col>7</xdr:col>
      <xdr:colOff>76200</xdr:colOff>
      <xdr:row>3</xdr:row>
      <xdr:rowOff>114300</xdr:rowOff>
    </xdr:from>
    <xdr:to>
      <xdr:col>11</xdr:col>
      <xdr:colOff>1495425</xdr:colOff>
      <xdr:row>16</xdr:row>
      <xdr:rowOff>104775</xdr:rowOff>
    </xdr:to>
    <xdr:sp>
      <xdr:nvSpPr>
        <xdr:cNvPr id="2" name="Rectangle 62"/>
        <xdr:cNvSpPr>
          <a:spLocks/>
        </xdr:cNvSpPr>
      </xdr:nvSpPr>
      <xdr:spPr>
        <a:xfrm>
          <a:off x="5114925" y="876300"/>
          <a:ext cx="3533775" cy="2057400"/>
        </a:xfrm>
        <a:prstGeom prst="rect">
          <a:avLst/>
        </a:prstGeom>
        <a:gradFill rotWithShape="1">
          <a:gsLst>
            <a:gs pos="0">
              <a:srgbClr val="004700"/>
            </a:gs>
            <a:gs pos="100000">
              <a:srgbClr val="009900"/>
            </a:gs>
          </a:gsLst>
          <a:lin ang="2700000" scaled="1"/>
        </a:gradFill>
        <a:ln w="9525" cmpd="sng">
          <a:solidFill>
            <a:srgbClr val="000000"/>
          </a:solidFill>
          <a:headEnd type="none"/>
          <a:tailEnd type="none"/>
        </a:ln>
      </xdr:spPr>
      <xdr:txBody>
        <a:bodyPr vertOverflow="clip" wrap="square"/>
        <a:p>
          <a:pPr algn="l">
            <a:defRPr/>
          </a:pPr>
          <a:r>
            <a:rPr lang="en-US" cap="none" sz="1400" b="0" i="0" u="none" baseline="0">
              <a:solidFill>
                <a:srgbClr val="00ABEA"/>
              </a:solidFill>
            </a:rPr>
            <a:t>Calculation of Standardized Incidence Ratios (SIRs)
</a:t>
          </a:r>
          <a:r>
            <a:rPr lang="en-US" cap="none" sz="1400" b="0" i="0" u="none" baseline="0">
              <a:solidFill>
                <a:srgbClr val="FFFFFF"/>
              </a:solidFill>
            </a:rPr>
            <a:t>To determine whether elevated numbers of cancer cases occurred in a community, cancer incidence data are tabulated by age group and gender to compare the observed number of cancer cases to the number that would be expected based on the statewide cancer rate. 
</a:t>
          </a:r>
        </a:p>
      </xdr:txBody>
    </xdr:sp>
    <xdr:clientData/>
  </xdr:twoCellAnchor>
  <xdr:twoCellAnchor>
    <xdr:from>
      <xdr:col>6</xdr:col>
      <xdr:colOff>57150</xdr:colOff>
      <xdr:row>17</xdr:row>
      <xdr:rowOff>85725</xdr:rowOff>
    </xdr:from>
    <xdr:to>
      <xdr:col>6</xdr:col>
      <xdr:colOff>571500</xdr:colOff>
      <xdr:row>17</xdr:row>
      <xdr:rowOff>85725</xdr:rowOff>
    </xdr:to>
    <xdr:sp>
      <xdr:nvSpPr>
        <xdr:cNvPr id="3" name="Line 63"/>
        <xdr:cNvSpPr>
          <a:spLocks/>
        </xdr:cNvSpPr>
      </xdr:nvSpPr>
      <xdr:spPr>
        <a:xfrm flipH="1">
          <a:off x="4505325" y="3076575"/>
          <a:ext cx="514350" cy="0"/>
        </a:xfrm>
        <a:prstGeom prst="line">
          <a:avLst/>
        </a:prstGeom>
        <a:noFill/>
        <a:ln w="57150" cmpd="sng">
          <a:solidFill>
            <a:srgbClr val="DD080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17</xdr:row>
      <xdr:rowOff>47625</xdr:rowOff>
    </xdr:from>
    <xdr:to>
      <xdr:col>11</xdr:col>
      <xdr:colOff>533400</xdr:colOff>
      <xdr:row>21</xdr:row>
      <xdr:rowOff>85725</xdr:rowOff>
    </xdr:to>
    <xdr:sp>
      <xdr:nvSpPr>
        <xdr:cNvPr id="4" name="Text Box 64"/>
        <xdr:cNvSpPr txBox="1">
          <a:spLocks noChangeArrowheads="1"/>
        </xdr:cNvSpPr>
      </xdr:nvSpPr>
      <xdr:spPr>
        <a:xfrm>
          <a:off x="5105400" y="3038475"/>
          <a:ext cx="2581275" cy="66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DD0806"/>
              </a:solidFill>
              <a:latin typeface="Arial"/>
              <a:ea typeface="Arial"/>
              <a:cs typeface="Arial"/>
            </a:rPr>
            <a:t>The SIR is the ratio of the observed # cases divided by the expected #. The ratio is then multiplied X 100.</a:t>
          </a:r>
        </a:p>
      </xdr:txBody>
    </xdr:sp>
    <xdr:clientData/>
  </xdr:twoCellAnchor>
  <xdr:twoCellAnchor>
    <xdr:from>
      <xdr:col>6</xdr:col>
      <xdr:colOff>57150</xdr:colOff>
      <xdr:row>25</xdr:row>
      <xdr:rowOff>57150</xdr:rowOff>
    </xdr:from>
    <xdr:to>
      <xdr:col>12</xdr:col>
      <xdr:colOff>247650</xdr:colOff>
      <xdr:row>38</xdr:row>
      <xdr:rowOff>133350</xdr:rowOff>
    </xdr:to>
    <xdr:grpSp>
      <xdr:nvGrpSpPr>
        <xdr:cNvPr id="5" name="Group 65"/>
        <xdr:cNvGrpSpPr>
          <a:grpSpLocks/>
        </xdr:cNvGrpSpPr>
      </xdr:nvGrpSpPr>
      <xdr:grpSpPr>
        <a:xfrm>
          <a:off x="4505325" y="4343400"/>
          <a:ext cx="4724400" cy="2505075"/>
          <a:chOff x="528" y="624"/>
          <a:chExt cx="4704" cy="2094"/>
        </a:xfrm>
        <a:solidFill>
          <a:srgbClr val="FFFFFF"/>
        </a:solidFill>
      </xdr:grpSpPr>
      <xdr:sp>
        <xdr:nvSpPr>
          <xdr:cNvPr id="6" name="Rectangle 66"/>
          <xdr:cNvSpPr>
            <a:spLocks/>
          </xdr:cNvSpPr>
        </xdr:nvSpPr>
        <xdr:spPr>
          <a:xfrm>
            <a:off x="4252" y="1917"/>
            <a:ext cx="980"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40
</a:t>
            </a:r>
          </a:p>
        </xdr:txBody>
      </xdr:sp>
      <xdr:sp>
        <xdr:nvSpPr>
          <xdr:cNvPr id="7" name="Rectangle 67"/>
          <xdr:cNvSpPr>
            <a:spLocks/>
          </xdr:cNvSpPr>
        </xdr:nvSpPr>
        <xdr:spPr>
          <a:xfrm>
            <a:off x="3223" y="1917"/>
            <a:ext cx="1029"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37.70
</a:t>
            </a:r>
          </a:p>
        </xdr:txBody>
      </xdr:sp>
      <xdr:sp>
        <xdr:nvSpPr>
          <xdr:cNvPr id="8" name="Rectangle 68"/>
          <xdr:cNvSpPr>
            <a:spLocks/>
          </xdr:cNvSpPr>
        </xdr:nvSpPr>
        <xdr:spPr>
          <a:xfrm>
            <a:off x="2439" y="1917"/>
            <a:ext cx="784"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25,136
</a:t>
            </a:r>
          </a:p>
        </xdr:txBody>
      </xdr:sp>
      <xdr:sp>
        <xdr:nvSpPr>
          <xdr:cNvPr id="9" name="Rectangle 69"/>
          <xdr:cNvSpPr>
            <a:spLocks/>
          </xdr:cNvSpPr>
        </xdr:nvSpPr>
        <xdr:spPr>
          <a:xfrm>
            <a:off x="1263" y="1917"/>
            <a:ext cx="1176"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.0015
</a:t>
            </a:r>
          </a:p>
        </xdr:txBody>
      </xdr:sp>
      <xdr:sp>
        <xdr:nvSpPr>
          <xdr:cNvPr id="10" name="Rectangle 70"/>
          <xdr:cNvSpPr>
            <a:spLocks/>
          </xdr:cNvSpPr>
        </xdr:nvSpPr>
        <xdr:spPr>
          <a:xfrm>
            <a:off x="528" y="1917"/>
            <a:ext cx="735" cy="273"/>
          </a:xfrm>
          <a:prstGeom prst="rect">
            <a:avLst/>
          </a:prstGeom>
          <a:solidFill>
            <a:srgbClr val="B2B2B2"/>
          </a:solidFill>
          <a:ln w="9525" cmpd="sng">
            <a:noFill/>
          </a:ln>
        </xdr:spPr>
        <xdr:txBody>
          <a:bodyPr vertOverflow="clip" wrap="square"/>
          <a:p>
            <a:pPr algn="l">
              <a:defRPr/>
            </a:pPr>
            <a:r>
              <a:rPr lang="en-US" cap="none" sz="1200" b="0" i="0" u="none" baseline="0">
                <a:solidFill>
                  <a:srgbClr val="000000"/>
                </a:solidFill>
              </a:rPr>
              <a:t>65-74
</a:t>
            </a:r>
          </a:p>
        </xdr:txBody>
      </xdr:sp>
      <xdr:sp>
        <xdr:nvSpPr>
          <xdr:cNvPr id="11" name="Rectangle 71"/>
          <xdr:cNvSpPr>
            <a:spLocks/>
          </xdr:cNvSpPr>
        </xdr:nvSpPr>
        <xdr:spPr>
          <a:xfrm>
            <a:off x="4252" y="1647"/>
            <a:ext cx="980" cy="270"/>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30
</a:t>
            </a:r>
          </a:p>
        </xdr:txBody>
      </xdr:sp>
      <xdr:sp>
        <xdr:nvSpPr>
          <xdr:cNvPr id="12" name="Rectangle 72"/>
          <xdr:cNvSpPr>
            <a:spLocks/>
          </xdr:cNvSpPr>
        </xdr:nvSpPr>
        <xdr:spPr>
          <a:xfrm>
            <a:off x="3223" y="1647"/>
            <a:ext cx="1029" cy="270"/>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27.23
</a:t>
            </a:r>
          </a:p>
        </xdr:txBody>
      </xdr:sp>
      <xdr:sp>
        <xdr:nvSpPr>
          <xdr:cNvPr id="13" name="Rectangle 73"/>
          <xdr:cNvSpPr>
            <a:spLocks/>
          </xdr:cNvSpPr>
        </xdr:nvSpPr>
        <xdr:spPr>
          <a:xfrm>
            <a:off x="2439" y="1647"/>
            <a:ext cx="784" cy="270"/>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54,463
</a:t>
            </a:r>
          </a:p>
        </xdr:txBody>
      </xdr:sp>
      <xdr:sp>
        <xdr:nvSpPr>
          <xdr:cNvPr id="14" name="Rectangle 74"/>
          <xdr:cNvSpPr>
            <a:spLocks/>
          </xdr:cNvSpPr>
        </xdr:nvSpPr>
        <xdr:spPr>
          <a:xfrm>
            <a:off x="1263" y="1647"/>
            <a:ext cx="1176" cy="270"/>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.0005
</a:t>
            </a:r>
          </a:p>
        </xdr:txBody>
      </xdr:sp>
      <xdr:sp>
        <xdr:nvSpPr>
          <xdr:cNvPr id="15" name="Rectangle 75"/>
          <xdr:cNvSpPr>
            <a:spLocks/>
          </xdr:cNvSpPr>
        </xdr:nvSpPr>
        <xdr:spPr>
          <a:xfrm>
            <a:off x="528" y="1647"/>
            <a:ext cx="735" cy="270"/>
          </a:xfrm>
          <a:prstGeom prst="rect">
            <a:avLst/>
          </a:prstGeom>
          <a:solidFill>
            <a:srgbClr val="B2B2B2"/>
          </a:solidFill>
          <a:ln w="9525" cmpd="sng">
            <a:noFill/>
          </a:ln>
        </xdr:spPr>
        <xdr:txBody>
          <a:bodyPr vertOverflow="clip" wrap="square"/>
          <a:p>
            <a:pPr algn="l">
              <a:defRPr/>
            </a:pPr>
            <a:r>
              <a:rPr lang="en-US" cap="none" sz="1200" b="0" i="0" u="none" baseline="0">
                <a:solidFill>
                  <a:srgbClr val="000000"/>
                </a:solidFill>
              </a:rPr>
              <a:t>45-64
</a:t>
            </a:r>
          </a:p>
        </xdr:txBody>
      </xdr:sp>
      <xdr:sp>
        <xdr:nvSpPr>
          <xdr:cNvPr id="16" name="Rectangle 76"/>
          <xdr:cNvSpPr>
            <a:spLocks/>
          </xdr:cNvSpPr>
        </xdr:nvSpPr>
        <xdr:spPr>
          <a:xfrm>
            <a:off x="4252" y="2190"/>
            <a:ext cx="980" cy="24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30
</a:t>
            </a:r>
          </a:p>
        </xdr:txBody>
      </xdr:sp>
      <xdr:sp>
        <xdr:nvSpPr>
          <xdr:cNvPr id="17" name="Rectangle 77"/>
          <xdr:cNvSpPr>
            <a:spLocks/>
          </xdr:cNvSpPr>
        </xdr:nvSpPr>
        <xdr:spPr>
          <a:xfrm>
            <a:off x="3223" y="2190"/>
            <a:ext cx="1029" cy="24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30.62
</a:t>
            </a:r>
          </a:p>
        </xdr:txBody>
      </xdr:sp>
      <xdr:sp>
        <xdr:nvSpPr>
          <xdr:cNvPr id="18" name="Rectangle 78"/>
          <xdr:cNvSpPr>
            <a:spLocks/>
          </xdr:cNvSpPr>
        </xdr:nvSpPr>
        <xdr:spPr>
          <a:xfrm>
            <a:off x="2439" y="2190"/>
            <a:ext cx="784" cy="24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17,012
</a:t>
            </a:r>
          </a:p>
        </xdr:txBody>
      </xdr:sp>
      <xdr:sp>
        <xdr:nvSpPr>
          <xdr:cNvPr id="19" name="Rectangle 79"/>
          <xdr:cNvSpPr>
            <a:spLocks/>
          </xdr:cNvSpPr>
        </xdr:nvSpPr>
        <xdr:spPr>
          <a:xfrm>
            <a:off x="1263" y="2190"/>
            <a:ext cx="1176" cy="24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.0018
</a:t>
            </a:r>
          </a:p>
        </xdr:txBody>
      </xdr:sp>
      <xdr:sp>
        <xdr:nvSpPr>
          <xdr:cNvPr id="20" name="Rectangle 80"/>
          <xdr:cNvSpPr>
            <a:spLocks/>
          </xdr:cNvSpPr>
        </xdr:nvSpPr>
        <xdr:spPr>
          <a:xfrm>
            <a:off x="528" y="2190"/>
            <a:ext cx="735" cy="249"/>
          </a:xfrm>
          <a:prstGeom prst="rect">
            <a:avLst/>
          </a:prstGeom>
          <a:solidFill>
            <a:srgbClr val="B2B2B2"/>
          </a:solidFill>
          <a:ln w="9525" cmpd="sng">
            <a:noFill/>
          </a:ln>
        </xdr:spPr>
        <xdr:txBody>
          <a:bodyPr vertOverflow="clip" wrap="square"/>
          <a:p>
            <a:pPr algn="l">
              <a:defRPr/>
            </a:pPr>
            <a:r>
              <a:rPr lang="en-US" cap="none" sz="1200" b="0" i="0" u="none" baseline="0">
                <a:solidFill>
                  <a:srgbClr val="000000"/>
                </a:solidFill>
              </a:rPr>
              <a:t>75-84
</a:t>
            </a:r>
          </a:p>
        </xdr:txBody>
      </xdr:sp>
      <xdr:sp>
        <xdr:nvSpPr>
          <xdr:cNvPr id="21" name="Rectangle 81"/>
          <xdr:cNvSpPr>
            <a:spLocks/>
          </xdr:cNvSpPr>
        </xdr:nvSpPr>
        <xdr:spPr>
          <a:xfrm>
            <a:off x="4252" y="2439"/>
            <a:ext cx="980" cy="27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8
</a:t>
            </a:r>
          </a:p>
        </xdr:txBody>
      </xdr:sp>
      <xdr:sp>
        <xdr:nvSpPr>
          <xdr:cNvPr id="22" name="Rectangle 82"/>
          <xdr:cNvSpPr>
            <a:spLocks/>
          </xdr:cNvSpPr>
        </xdr:nvSpPr>
        <xdr:spPr>
          <a:xfrm>
            <a:off x="3223" y="2439"/>
            <a:ext cx="1029" cy="27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6.34
</a:t>
            </a:r>
          </a:p>
        </xdr:txBody>
      </xdr:sp>
      <xdr:sp>
        <xdr:nvSpPr>
          <xdr:cNvPr id="23" name="Rectangle 83"/>
          <xdr:cNvSpPr>
            <a:spLocks/>
          </xdr:cNvSpPr>
        </xdr:nvSpPr>
        <xdr:spPr>
          <a:xfrm>
            <a:off x="2439" y="2439"/>
            <a:ext cx="784" cy="27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6,337
</a:t>
            </a:r>
          </a:p>
        </xdr:txBody>
      </xdr:sp>
      <xdr:sp>
        <xdr:nvSpPr>
          <xdr:cNvPr id="24" name="Rectangle 84"/>
          <xdr:cNvSpPr>
            <a:spLocks/>
          </xdr:cNvSpPr>
        </xdr:nvSpPr>
        <xdr:spPr>
          <a:xfrm>
            <a:off x="1263" y="2439"/>
            <a:ext cx="1176" cy="279"/>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.0010
</a:t>
            </a:r>
          </a:p>
        </xdr:txBody>
      </xdr:sp>
      <xdr:sp>
        <xdr:nvSpPr>
          <xdr:cNvPr id="25" name="Rectangle 85"/>
          <xdr:cNvSpPr>
            <a:spLocks/>
          </xdr:cNvSpPr>
        </xdr:nvSpPr>
        <xdr:spPr>
          <a:xfrm>
            <a:off x="528" y="2439"/>
            <a:ext cx="735" cy="279"/>
          </a:xfrm>
          <a:prstGeom prst="rect">
            <a:avLst/>
          </a:prstGeom>
          <a:solidFill>
            <a:srgbClr val="B2B2B2"/>
          </a:solidFill>
          <a:ln w="9525" cmpd="sng">
            <a:noFill/>
          </a:ln>
        </xdr:spPr>
        <xdr:txBody>
          <a:bodyPr vertOverflow="clip" wrap="square"/>
          <a:p>
            <a:pPr algn="l">
              <a:defRPr/>
            </a:pPr>
            <a:r>
              <a:rPr lang="en-US" cap="none" sz="1200" b="0" i="0" u="none" baseline="0">
                <a:solidFill>
                  <a:srgbClr val="000000"/>
                </a:solidFill>
              </a:rPr>
              <a:t>85+
</a:t>
            </a:r>
          </a:p>
        </xdr:txBody>
      </xdr:sp>
      <xdr:sp>
        <xdr:nvSpPr>
          <xdr:cNvPr id="26" name="Rectangle 86"/>
          <xdr:cNvSpPr>
            <a:spLocks/>
          </xdr:cNvSpPr>
        </xdr:nvSpPr>
        <xdr:spPr>
          <a:xfrm>
            <a:off x="4252" y="1374"/>
            <a:ext cx="980"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25
</a:t>
            </a:r>
          </a:p>
        </xdr:txBody>
      </xdr:sp>
      <xdr:sp>
        <xdr:nvSpPr>
          <xdr:cNvPr id="27" name="Rectangle 87"/>
          <xdr:cNvSpPr>
            <a:spLocks/>
          </xdr:cNvSpPr>
        </xdr:nvSpPr>
        <xdr:spPr>
          <a:xfrm>
            <a:off x="3223" y="1374"/>
            <a:ext cx="1029"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26.99
</a:t>
            </a:r>
          </a:p>
        </xdr:txBody>
      </xdr:sp>
      <xdr:sp>
        <xdr:nvSpPr>
          <xdr:cNvPr id="28" name="Rectangle 88"/>
          <xdr:cNvSpPr>
            <a:spLocks/>
          </xdr:cNvSpPr>
        </xdr:nvSpPr>
        <xdr:spPr>
          <a:xfrm>
            <a:off x="2439" y="1374"/>
            <a:ext cx="784"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134,957
</a:t>
            </a:r>
          </a:p>
        </xdr:txBody>
      </xdr:sp>
      <xdr:sp>
        <xdr:nvSpPr>
          <xdr:cNvPr id="29" name="Rectangle 89"/>
          <xdr:cNvSpPr>
            <a:spLocks/>
          </xdr:cNvSpPr>
        </xdr:nvSpPr>
        <xdr:spPr>
          <a:xfrm>
            <a:off x="1263" y="1374"/>
            <a:ext cx="1176" cy="273"/>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.0002
</a:t>
            </a:r>
          </a:p>
        </xdr:txBody>
      </xdr:sp>
      <xdr:sp>
        <xdr:nvSpPr>
          <xdr:cNvPr id="30" name="Rectangle 90"/>
          <xdr:cNvSpPr>
            <a:spLocks/>
          </xdr:cNvSpPr>
        </xdr:nvSpPr>
        <xdr:spPr>
          <a:xfrm>
            <a:off x="528" y="1374"/>
            <a:ext cx="735" cy="273"/>
          </a:xfrm>
          <a:prstGeom prst="rect">
            <a:avLst/>
          </a:prstGeom>
          <a:solidFill>
            <a:srgbClr val="B2B2B2"/>
          </a:solidFill>
          <a:ln w="9525" cmpd="sng">
            <a:noFill/>
          </a:ln>
        </xdr:spPr>
        <xdr:txBody>
          <a:bodyPr vertOverflow="clip" wrap="square"/>
          <a:p>
            <a:pPr algn="l">
              <a:defRPr/>
            </a:pPr>
            <a:r>
              <a:rPr lang="en-US" cap="none" sz="1200" b="0" i="0" u="none" baseline="0">
                <a:solidFill>
                  <a:srgbClr val="000000"/>
                </a:solidFill>
              </a:rPr>
              <a:t>20-44
</a:t>
            </a:r>
          </a:p>
        </xdr:txBody>
      </xdr:sp>
      <xdr:sp>
        <xdr:nvSpPr>
          <xdr:cNvPr id="31" name="Rectangle 91"/>
          <xdr:cNvSpPr>
            <a:spLocks/>
          </xdr:cNvSpPr>
        </xdr:nvSpPr>
        <xdr:spPr>
          <a:xfrm>
            <a:off x="4252" y="1080"/>
            <a:ext cx="980" cy="294"/>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11
</a:t>
            </a:r>
          </a:p>
        </xdr:txBody>
      </xdr:sp>
      <xdr:sp>
        <xdr:nvSpPr>
          <xdr:cNvPr id="32" name="Rectangle 92"/>
          <xdr:cNvSpPr>
            <a:spLocks/>
          </xdr:cNvSpPr>
        </xdr:nvSpPr>
        <xdr:spPr>
          <a:xfrm>
            <a:off x="3223" y="1080"/>
            <a:ext cx="1029" cy="294"/>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7.47
</a:t>
            </a:r>
          </a:p>
        </xdr:txBody>
      </xdr:sp>
      <xdr:sp>
        <xdr:nvSpPr>
          <xdr:cNvPr id="33" name="Rectangle 93"/>
          <xdr:cNvSpPr>
            <a:spLocks/>
          </xdr:cNvSpPr>
        </xdr:nvSpPr>
        <xdr:spPr>
          <a:xfrm>
            <a:off x="2439" y="1080"/>
            <a:ext cx="784" cy="294"/>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74,657
</a:t>
            </a:r>
          </a:p>
        </xdr:txBody>
      </xdr:sp>
      <xdr:sp>
        <xdr:nvSpPr>
          <xdr:cNvPr id="34" name="Rectangle 94"/>
          <xdr:cNvSpPr>
            <a:spLocks/>
          </xdr:cNvSpPr>
        </xdr:nvSpPr>
        <xdr:spPr>
          <a:xfrm>
            <a:off x="1263" y="1080"/>
            <a:ext cx="1176" cy="294"/>
          </a:xfrm>
          <a:prstGeom prst="rect">
            <a:avLst/>
          </a:prstGeom>
          <a:solidFill>
            <a:srgbClr val="B2B2B2"/>
          </a:solidFill>
          <a:ln w="9525" cmpd="sng">
            <a:noFill/>
          </a:ln>
        </xdr:spPr>
        <xdr:txBody>
          <a:bodyPr vertOverflow="clip" wrap="square"/>
          <a:p>
            <a:pPr algn="r">
              <a:defRPr/>
            </a:pPr>
            <a:r>
              <a:rPr lang="en-US" cap="none" sz="1200" b="0" i="0" u="none" baseline="0">
                <a:solidFill>
                  <a:srgbClr val="000000"/>
                </a:solidFill>
              </a:rPr>
              <a:t>.0001
</a:t>
            </a:r>
          </a:p>
        </xdr:txBody>
      </xdr:sp>
      <xdr:sp>
        <xdr:nvSpPr>
          <xdr:cNvPr id="35" name="Rectangle 95"/>
          <xdr:cNvSpPr>
            <a:spLocks/>
          </xdr:cNvSpPr>
        </xdr:nvSpPr>
        <xdr:spPr>
          <a:xfrm>
            <a:off x="528" y="1080"/>
            <a:ext cx="735" cy="294"/>
          </a:xfrm>
          <a:prstGeom prst="rect">
            <a:avLst/>
          </a:prstGeom>
          <a:solidFill>
            <a:srgbClr val="B2B2B2"/>
          </a:solidFill>
          <a:ln w="9525" cmpd="sng">
            <a:noFill/>
          </a:ln>
        </xdr:spPr>
        <xdr:txBody>
          <a:bodyPr vertOverflow="clip" wrap="square"/>
          <a:p>
            <a:pPr algn="l">
              <a:defRPr/>
            </a:pPr>
            <a:r>
              <a:rPr lang="en-US" cap="none" sz="1200" b="0" i="0" u="none" baseline="0">
                <a:solidFill>
                  <a:srgbClr val="000000"/>
                </a:solidFill>
              </a:rPr>
              <a:t>0-19
</a:t>
            </a:r>
          </a:p>
        </xdr:txBody>
      </xdr:sp>
      <xdr:sp>
        <xdr:nvSpPr>
          <xdr:cNvPr id="36" name="Rectangle 96"/>
          <xdr:cNvSpPr>
            <a:spLocks/>
          </xdr:cNvSpPr>
        </xdr:nvSpPr>
        <xdr:spPr>
          <a:xfrm>
            <a:off x="4252" y="624"/>
            <a:ext cx="980" cy="456"/>
          </a:xfrm>
          <a:prstGeom prst="rect">
            <a:avLst/>
          </a:prstGeom>
          <a:solidFill>
            <a:srgbClr val="B2B2B2"/>
          </a:solidFill>
          <a:ln w="9525" cmpd="sng">
            <a:noFill/>
          </a:ln>
        </xdr:spPr>
        <xdr:txBody>
          <a:bodyPr vertOverflow="clip" wrap="square"/>
          <a:p>
            <a:pPr algn="ctr">
              <a:defRPr/>
            </a:pPr>
            <a:r>
              <a:rPr lang="en-US" cap="none" sz="1200" b="1" i="0" u="none" baseline="0">
                <a:solidFill>
                  <a:srgbClr val="000000"/>
                </a:solidFill>
              </a:rPr>
              <a:t>Observed Cases</a:t>
            </a:r>
            <a:r>
              <a:rPr lang="en-US" cap="none" sz="1200" b="0" i="0" u="none" baseline="0">
                <a:solidFill>
                  <a:srgbClr val="000000"/>
                </a:solidFill>
              </a:rPr>
              <a:t>
</a:t>
            </a:r>
          </a:p>
        </xdr:txBody>
      </xdr:sp>
      <xdr:sp>
        <xdr:nvSpPr>
          <xdr:cNvPr id="37" name="Rectangle 97"/>
          <xdr:cNvSpPr>
            <a:spLocks/>
          </xdr:cNvSpPr>
        </xdr:nvSpPr>
        <xdr:spPr>
          <a:xfrm>
            <a:off x="3223" y="624"/>
            <a:ext cx="1029" cy="456"/>
          </a:xfrm>
          <a:prstGeom prst="rect">
            <a:avLst/>
          </a:prstGeom>
          <a:solidFill>
            <a:srgbClr val="B2B2B2"/>
          </a:solidFill>
          <a:ln w="9525" cmpd="sng">
            <a:noFill/>
          </a:ln>
        </xdr:spPr>
        <xdr:txBody>
          <a:bodyPr vertOverflow="clip" wrap="square"/>
          <a:p>
            <a:pPr algn="ctr">
              <a:defRPr/>
            </a:pPr>
            <a:r>
              <a:rPr lang="en-US" cap="none" sz="1200" b="1" i="0" u="none" baseline="0">
                <a:solidFill>
                  <a:srgbClr val="000000"/>
                </a:solidFill>
              </a:rPr>
              <a:t>Expected Cases </a:t>
            </a:r>
            <a:r>
              <a:rPr lang="en-US" cap="none" sz="1200" b="0" i="0" u="none" baseline="0">
                <a:solidFill>
                  <a:srgbClr val="000000"/>
                </a:solidFill>
              </a:rPr>
              <a:t>
</a:t>
            </a:r>
          </a:p>
        </xdr:txBody>
      </xdr:sp>
      <xdr:sp>
        <xdr:nvSpPr>
          <xdr:cNvPr id="38" name="Rectangle 98"/>
          <xdr:cNvSpPr>
            <a:spLocks/>
          </xdr:cNvSpPr>
        </xdr:nvSpPr>
        <xdr:spPr>
          <a:xfrm>
            <a:off x="2439" y="624"/>
            <a:ext cx="784" cy="456"/>
          </a:xfrm>
          <a:prstGeom prst="rect">
            <a:avLst/>
          </a:prstGeom>
          <a:solidFill>
            <a:srgbClr val="B2B2B2"/>
          </a:solidFill>
          <a:ln w="9525" cmpd="sng">
            <a:noFill/>
          </a:ln>
        </xdr:spPr>
        <xdr:txBody>
          <a:bodyPr vertOverflow="clip" wrap="square"/>
          <a:p>
            <a:pPr algn="l">
              <a:defRPr/>
            </a:pPr>
            <a:r>
              <a:rPr lang="en-US" cap="none" sz="1200" b="1" i="0" u="none" baseline="0">
                <a:solidFill>
                  <a:srgbClr val="000000"/>
                </a:solidFill>
              </a:rPr>
              <a:t>State Rate</a:t>
            </a:r>
            <a:r>
              <a:rPr lang="en-US" cap="none" sz="1200" b="0" i="0" u="none" baseline="0">
                <a:solidFill>
                  <a:srgbClr val="000000"/>
                </a:solidFill>
              </a:rPr>
              <a:t>
</a:t>
            </a:r>
          </a:p>
        </xdr:txBody>
      </xdr:sp>
      <xdr:sp>
        <xdr:nvSpPr>
          <xdr:cNvPr id="39" name="Rectangle 99"/>
          <xdr:cNvSpPr>
            <a:spLocks/>
          </xdr:cNvSpPr>
        </xdr:nvSpPr>
        <xdr:spPr>
          <a:xfrm>
            <a:off x="1263" y="624"/>
            <a:ext cx="1176" cy="456"/>
          </a:xfrm>
          <a:prstGeom prst="rect">
            <a:avLst/>
          </a:prstGeom>
          <a:solidFill>
            <a:srgbClr val="B2B2B2"/>
          </a:solidFill>
          <a:ln w="9525" cmpd="sng">
            <a:noFill/>
          </a:ln>
        </xdr:spPr>
        <xdr:txBody>
          <a:bodyPr vertOverflow="clip" wrap="square"/>
          <a:p>
            <a:pPr algn="ctr">
              <a:defRPr/>
            </a:pPr>
            <a:r>
              <a:rPr lang="en-US" cap="none" sz="1200" b="1" i="0" u="none" baseline="0">
                <a:solidFill>
                  <a:srgbClr val="000000"/>
                </a:solidFill>
              </a:rPr>
              <a:t>Community population</a:t>
            </a:r>
            <a:r>
              <a:rPr lang="en-US" cap="none" sz="1200" b="0" i="0" u="none" baseline="0">
                <a:solidFill>
                  <a:srgbClr val="000000"/>
                </a:solidFill>
              </a:rPr>
              <a:t>
</a:t>
            </a:r>
          </a:p>
        </xdr:txBody>
      </xdr:sp>
      <xdr:sp>
        <xdr:nvSpPr>
          <xdr:cNvPr id="40" name="Rectangle 100"/>
          <xdr:cNvSpPr>
            <a:spLocks/>
          </xdr:cNvSpPr>
        </xdr:nvSpPr>
        <xdr:spPr>
          <a:xfrm>
            <a:off x="528" y="624"/>
            <a:ext cx="735" cy="456"/>
          </a:xfrm>
          <a:prstGeom prst="rect">
            <a:avLst/>
          </a:prstGeom>
          <a:solidFill>
            <a:srgbClr val="B2B2B2"/>
          </a:solidFill>
          <a:ln w="9525" cmpd="sng">
            <a:noFill/>
          </a:ln>
        </xdr:spPr>
        <xdr:txBody>
          <a:bodyPr vertOverflow="clip" wrap="square"/>
          <a:p>
            <a:pPr algn="ctr">
              <a:defRPr/>
            </a:pPr>
            <a:r>
              <a:rPr lang="en-US" cap="none" sz="1200" b="1" i="0" u="none" baseline="0">
                <a:solidFill>
                  <a:srgbClr val="000000"/>
                </a:solidFill>
              </a:rPr>
              <a:t>Age Group</a:t>
            </a:r>
            <a:r>
              <a:rPr lang="en-US" cap="none" sz="1200" b="0" i="0" u="none" baseline="0">
                <a:solidFill>
                  <a:srgbClr val="000000"/>
                </a:solidFill>
              </a:rPr>
              <a:t>
</a:t>
            </a:r>
          </a:p>
        </xdr:txBody>
      </xdr:sp>
      <xdr:sp>
        <xdr:nvSpPr>
          <xdr:cNvPr id="41" name="Line 101"/>
          <xdr:cNvSpPr>
            <a:spLocks/>
          </xdr:cNvSpPr>
        </xdr:nvSpPr>
        <xdr:spPr>
          <a:xfrm>
            <a:off x="528" y="624"/>
            <a:ext cx="470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02"/>
          <xdr:cNvSpPr>
            <a:spLocks/>
          </xdr:cNvSpPr>
        </xdr:nvSpPr>
        <xdr:spPr>
          <a:xfrm>
            <a:off x="528" y="1080"/>
            <a:ext cx="470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03"/>
          <xdr:cNvSpPr>
            <a:spLocks/>
          </xdr:cNvSpPr>
        </xdr:nvSpPr>
        <xdr:spPr>
          <a:xfrm>
            <a:off x="528" y="1374"/>
            <a:ext cx="470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104"/>
          <xdr:cNvSpPr>
            <a:spLocks/>
          </xdr:cNvSpPr>
        </xdr:nvSpPr>
        <xdr:spPr>
          <a:xfrm>
            <a:off x="528" y="1647"/>
            <a:ext cx="4704"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05"/>
          <xdr:cNvSpPr>
            <a:spLocks/>
          </xdr:cNvSpPr>
        </xdr:nvSpPr>
        <xdr:spPr>
          <a:xfrm>
            <a:off x="528" y="2718"/>
            <a:ext cx="470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106"/>
          <xdr:cNvSpPr>
            <a:spLocks/>
          </xdr:cNvSpPr>
        </xdr:nvSpPr>
        <xdr:spPr>
          <a:xfrm>
            <a:off x="1263" y="624"/>
            <a:ext cx="0" cy="129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07"/>
          <xdr:cNvSpPr>
            <a:spLocks/>
          </xdr:cNvSpPr>
        </xdr:nvSpPr>
        <xdr:spPr>
          <a:xfrm>
            <a:off x="2439" y="624"/>
            <a:ext cx="0" cy="209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08"/>
          <xdr:cNvSpPr>
            <a:spLocks/>
          </xdr:cNvSpPr>
        </xdr:nvSpPr>
        <xdr:spPr>
          <a:xfrm>
            <a:off x="3223" y="624"/>
            <a:ext cx="0" cy="209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09"/>
          <xdr:cNvSpPr>
            <a:spLocks/>
          </xdr:cNvSpPr>
        </xdr:nvSpPr>
        <xdr:spPr>
          <a:xfrm>
            <a:off x="4252" y="624"/>
            <a:ext cx="0" cy="2094"/>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10"/>
          <xdr:cNvSpPr>
            <a:spLocks/>
          </xdr:cNvSpPr>
        </xdr:nvSpPr>
        <xdr:spPr>
          <a:xfrm>
            <a:off x="5232" y="624"/>
            <a:ext cx="0" cy="2094"/>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11"/>
          <xdr:cNvSpPr>
            <a:spLocks/>
          </xdr:cNvSpPr>
        </xdr:nvSpPr>
        <xdr:spPr>
          <a:xfrm>
            <a:off x="528" y="2439"/>
            <a:ext cx="73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12"/>
          <xdr:cNvSpPr>
            <a:spLocks/>
          </xdr:cNvSpPr>
        </xdr:nvSpPr>
        <xdr:spPr>
          <a:xfrm>
            <a:off x="528" y="1917"/>
            <a:ext cx="73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13"/>
          <xdr:cNvSpPr>
            <a:spLocks/>
          </xdr:cNvSpPr>
        </xdr:nvSpPr>
        <xdr:spPr>
          <a:xfrm>
            <a:off x="528" y="2190"/>
            <a:ext cx="73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114"/>
          <xdr:cNvSpPr>
            <a:spLocks/>
          </xdr:cNvSpPr>
        </xdr:nvSpPr>
        <xdr:spPr>
          <a:xfrm>
            <a:off x="1263" y="1917"/>
            <a:ext cx="3969"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115"/>
          <xdr:cNvSpPr>
            <a:spLocks/>
          </xdr:cNvSpPr>
        </xdr:nvSpPr>
        <xdr:spPr>
          <a:xfrm>
            <a:off x="1263" y="2190"/>
            <a:ext cx="3969"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16"/>
          <xdr:cNvSpPr>
            <a:spLocks/>
          </xdr:cNvSpPr>
        </xdr:nvSpPr>
        <xdr:spPr>
          <a:xfrm>
            <a:off x="528" y="1917"/>
            <a:ext cx="0" cy="52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17"/>
          <xdr:cNvSpPr>
            <a:spLocks/>
          </xdr:cNvSpPr>
        </xdr:nvSpPr>
        <xdr:spPr>
          <a:xfrm>
            <a:off x="528" y="624"/>
            <a:ext cx="0" cy="1293"/>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18"/>
          <xdr:cNvSpPr>
            <a:spLocks/>
          </xdr:cNvSpPr>
        </xdr:nvSpPr>
        <xdr:spPr>
          <a:xfrm>
            <a:off x="1263" y="1917"/>
            <a:ext cx="0" cy="52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19"/>
          <xdr:cNvSpPr>
            <a:spLocks/>
          </xdr:cNvSpPr>
        </xdr:nvSpPr>
        <xdr:spPr>
          <a:xfrm>
            <a:off x="1263" y="2439"/>
            <a:ext cx="3969"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20"/>
          <xdr:cNvSpPr>
            <a:spLocks/>
          </xdr:cNvSpPr>
        </xdr:nvSpPr>
        <xdr:spPr>
          <a:xfrm>
            <a:off x="528" y="2439"/>
            <a:ext cx="0" cy="279"/>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21"/>
          <xdr:cNvSpPr>
            <a:spLocks/>
          </xdr:cNvSpPr>
        </xdr:nvSpPr>
        <xdr:spPr>
          <a:xfrm>
            <a:off x="1263" y="2439"/>
            <a:ext cx="0" cy="27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19050</xdr:colOff>
      <xdr:row>15</xdr:row>
      <xdr:rowOff>142875</xdr:rowOff>
    </xdr:from>
    <xdr:to>
      <xdr:col>5</xdr:col>
      <xdr:colOff>476250</xdr:colOff>
      <xdr:row>17</xdr:row>
      <xdr:rowOff>9525</xdr:rowOff>
    </xdr:to>
    <xdr:sp>
      <xdr:nvSpPr>
        <xdr:cNvPr id="62" name="Line 122"/>
        <xdr:cNvSpPr>
          <a:spLocks/>
        </xdr:cNvSpPr>
      </xdr:nvSpPr>
      <xdr:spPr>
        <a:xfrm>
          <a:off x="3705225" y="2819400"/>
          <a:ext cx="4572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638175</xdr:colOff>
      <xdr:row>16</xdr:row>
      <xdr:rowOff>9525</xdr:rowOff>
    </xdr:from>
    <xdr:to>
      <xdr:col>5</xdr:col>
      <xdr:colOff>647700</xdr:colOff>
      <xdr:row>17</xdr:row>
      <xdr:rowOff>9525</xdr:rowOff>
    </xdr:to>
    <xdr:sp>
      <xdr:nvSpPr>
        <xdr:cNvPr id="63" name="Line 123"/>
        <xdr:cNvSpPr>
          <a:spLocks/>
        </xdr:cNvSpPr>
      </xdr:nvSpPr>
      <xdr:spPr>
        <a:xfrm flipH="1">
          <a:off x="4324350" y="2838450"/>
          <a:ext cx="95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171450</xdr:colOff>
      <xdr:row>28</xdr:row>
      <xdr:rowOff>123825</xdr:rowOff>
    </xdr:from>
    <xdr:ext cx="2590800" cy="1781175"/>
    <xdr:sp>
      <xdr:nvSpPr>
        <xdr:cNvPr id="1" name="Text Box 1025"/>
        <xdr:cNvSpPr txBox="1">
          <a:spLocks noChangeArrowheads="1"/>
        </xdr:cNvSpPr>
      </xdr:nvSpPr>
      <xdr:spPr>
        <a:xfrm>
          <a:off x="5619750" y="5095875"/>
          <a:ext cx="2590800" cy="1781175"/>
        </a:xfrm>
        <a:prstGeom prst="rect">
          <a:avLst/>
        </a:prstGeom>
        <a:solidFill>
          <a:srgbClr val="C0C0C0"/>
        </a:solidFill>
        <a:ln w="9525" cmpd="sng">
          <a:solidFill>
            <a:srgbClr val="000000"/>
          </a:solidFill>
          <a:headEnd type="none"/>
          <a:tailEnd type="none"/>
        </a:ln>
      </xdr:spPr>
      <xdr:txBody>
        <a:bodyPr vertOverflow="clip" wrap="square">
          <a:spAutoFit/>
        </a:bodyPr>
        <a:p>
          <a:pPr algn="l">
            <a:defRPr/>
          </a:pPr>
          <a:r>
            <a:rPr lang="en-US" cap="none" sz="10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Florida</a:t>
          </a:r>
          <a:r>
            <a:rPr lang="en-US" cap="none" sz="1000" b="0" i="0" u="none" baseline="0">
              <a:solidFill>
                <a:srgbClr val="000000"/>
              </a:solidFill>
              <a:latin typeface="Times New Roman"/>
              <a:ea typeface="Times New Roman"/>
              <a:cs typeface="Times New Roman"/>
            </a:rPr>
            <a:t>                           % of total   Rate per         
</a:t>
          </a:r>
          <a:r>
            <a:rPr lang="en-US" cap="none" sz="1000" b="0" i="0" u="sng" baseline="0">
              <a:solidFill>
                <a:srgbClr val="000000"/>
              </a:solidFill>
              <a:latin typeface="Times New Roman"/>
              <a:ea typeface="Times New Roman"/>
              <a:cs typeface="Times New Roman"/>
            </a:rPr>
            <a:t>Age</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Deaths</a:t>
          </a:r>
          <a:r>
            <a:rPr lang="en-US" cap="none" sz="1000" b="0" i="0" u="none" baseline="0">
              <a:solidFill>
                <a:srgbClr val="000000"/>
              </a:solidFill>
              <a:latin typeface="Times New Roman"/>
              <a:ea typeface="Times New Roman"/>
              <a:cs typeface="Times New Roman"/>
            </a:rPr>
            <a:t>       Pop.     </a:t>
          </a:r>
          <a:r>
            <a:rPr lang="en-US" cap="none" sz="1000" b="0" i="0" u="sng" baseline="0">
              <a:solidFill>
                <a:srgbClr val="000000"/>
              </a:solidFill>
              <a:latin typeface="Times New Roman"/>
              <a:ea typeface="Times New Roman"/>
              <a:cs typeface="Times New Roman"/>
            </a:rPr>
            <a:t>(</a:t>
          </a:r>
          <a:r>
            <a:rPr lang="en-US" cap="none" sz="1000" b="0" i="1" u="sng" baseline="0">
              <a:solidFill>
                <a:srgbClr val="000000"/>
              </a:solidFill>
              <a:latin typeface="Times New Roman"/>
              <a:ea typeface="Times New Roman"/>
              <a:cs typeface="Times New Roman"/>
            </a:rPr>
            <a:t>Weight</a:t>
          </a:r>
          <a:r>
            <a:rPr lang="en-US" cap="none" sz="1000" b="0" i="0" u="sng"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100,000</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&lt;5          2,414      850,000       7%             284             
</a:t>
          </a:r>
          <a:r>
            <a:rPr lang="en-US" cap="none" sz="1000" b="0" i="0" u="none" baseline="0">
              <a:solidFill>
                <a:srgbClr val="000000"/>
              </a:solidFill>
              <a:latin typeface="Times New Roman"/>
              <a:ea typeface="Times New Roman"/>
              <a:cs typeface="Times New Roman"/>
            </a:rPr>
            <a:t>5-19       1,300   2,280,000     18%               57     
</a:t>
          </a:r>
          <a:r>
            <a:rPr lang="en-US" cap="none" sz="1000" b="0" i="0" u="none" baseline="0">
              <a:solidFill>
                <a:srgbClr val="000000"/>
              </a:solidFill>
              <a:latin typeface="Times New Roman"/>
              <a:ea typeface="Times New Roman"/>
              <a:cs typeface="Times New Roman"/>
            </a:rPr>
            <a:t>20-44     8,732   4,410,000     36%             198     
</a:t>
          </a:r>
          <a:r>
            <a:rPr lang="en-US" cap="none" sz="1000" b="0" i="0" u="none" baseline="0">
              <a:solidFill>
                <a:srgbClr val="000000"/>
              </a:solidFill>
              <a:latin typeface="Times New Roman"/>
              <a:ea typeface="Times New Roman"/>
              <a:cs typeface="Times New Roman"/>
            </a:rPr>
            <a:t>45-64   21,190   2,600,000     21%             815     
</a:t>
          </a:r>
          <a:r>
            <a:rPr lang="en-US" cap="none" sz="1000" b="0" i="0" u="none" baseline="0">
              <a:solidFill>
                <a:srgbClr val="000000"/>
              </a:solidFill>
              <a:latin typeface="Times New Roman"/>
              <a:ea typeface="Times New Roman"/>
              <a:cs typeface="Times New Roman"/>
            </a:rPr>
            <a:t>&gt;65      </a:t>
          </a:r>
          <a:r>
            <a:rPr lang="en-US" cap="none" sz="1000" b="0" i="0" u="sng" baseline="0">
              <a:solidFill>
                <a:srgbClr val="000000"/>
              </a:solidFill>
              <a:latin typeface="Times New Roman"/>
              <a:ea typeface="Times New Roman"/>
              <a:cs typeface="Times New Roman"/>
            </a:rPr>
            <a:t>97,350</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2,200,000</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18%</a:t>
          </a:r>
          <a:r>
            <a:rPr lang="en-US" cap="none" sz="1000" b="0" i="0" u="none" baseline="0">
              <a:solidFill>
                <a:srgbClr val="000000"/>
              </a:solidFill>
              <a:latin typeface="Times New Roman"/>
              <a:ea typeface="Times New Roman"/>
              <a:cs typeface="Times New Roman"/>
            </a:rPr>
            <a:t>          4,425   
</a:t>
          </a:r>
          <a:r>
            <a:rPr lang="en-US" cap="none" sz="1000" b="0" i="0" u="none" baseline="0">
              <a:solidFill>
                <a:srgbClr val="000000"/>
              </a:solidFill>
              <a:latin typeface="Times New Roman"/>
              <a:ea typeface="Times New Roman"/>
              <a:cs typeface="Times New Roman"/>
            </a:rPr>
            <a:t>Tot.   130,986 12,340,000   100%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Crude Rate</a:t>
          </a:r>
          <a:r>
            <a:rPr lang="en-US" cap="none" sz="1000" b="0" i="0" u="none" baseline="0">
              <a:solidFill>
                <a:srgbClr val="000000"/>
              </a:solidFill>
              <a:latin typeface="Times New Roman"/>
              <a:ea typeface="Times New Roman"/>
              <a:cs typeface="Times New Roman"/>
            </a:rPr>
            <a:t>= 130,986/12,340,000=1,061 per 100,000    </a:t>
          </a:r>
        </a:p>
      </xdr:txBody>
    </xdr:sp>
    <xdr:clientData/>
  </xdr:oneCellAnchor>
  <xdr:twoCellAnchor>
    <xdr:from>
      <xdr:col>1</xdr:col>
      <xdr:colOff>304800</xdr:colOff>
      <xdr:row>20</xdr:row>
      <xdr:rowOff>66675</xdr:rowOff>
    </xdr:from>
    <xdr:to>
      <xdr:col>13</xdr:col>
      <xdr:colOff>438150</xdr:colOff>
      <xdr:row>25</xdr:row>
      <xdr:rowOff>161925</xdr:rowOff>
    </xdr:to>
    <xdr:sp>
      <xdr:nvSpPr>
        <xdr:cNvPr id="2" name="Text Box 1027"/>
        <xdr:cNvSpPr txBox="1">
          <a:spLocks noChangeArrowheads="1"/>
        </xdr:cNvSpPr>
      </xdr:nvSpPr>
      <xdr:spPr>
        <a:xfrm>
          <a:off x="895350" y="3581400"/>
          <a:ext cx="8210550" cy="10382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Suppose you want to compare Florida and Alaska with respect to death rates from cancer. The problem is that death rates are markedly affected by age, and Florida and Alaska have different age distributions. However, we can calculate age-adjusted rates by using a reference or "standard" distribution to determine what the overall rates for Florida and Alaska would have been if their populations had similar distributions. The calculation uses the age-specific rates observed for each population and calculates a weighted average using the "standard" populations distribution for weighting. In this case, the US age distribution in 1988 was used as a standard, but you can use any other standard. Note that the crude rates for Florida and Alaska differ substantially (1,061 per 100,000 vs.391 per 100,000, but Florida has a higher percentage of old people. The standardized (age-adjusted) rates are very similar (797 vs. 750 per 100,000).</a:t>
          </a:r>
        </a:p>
      </xdr:txBody>
    </xdr:sp>
    <xdr:clientData/>
  </xdr:twoCellAnchor>
  <xdr:oneCellAnchor>
    <xdr:from>
      <xdr:col>8</xdr:col>
      <xdr:colOff>247650</xdr:colOff>
      <xdr:row>44</xdr:row>
      <xdr:rowOff>9525</xdr:rowOff>
    </xdr:from>
    <xdr:ext cx="2619375" cy="1771650"/>
    <xdr:sp>
      <xdr:nvSpPr>
        <xdr:cNvPr id="3" name="Text Box 1028"/>
        <xdr:cNvSpPr txBox="1">
          <a:spLocks noChangeArrowheads="1"/>
        </xdr:cNvSpPr>
      </xdr:nvSpPr>
      <xdr:spPr>
        <a:xfrm>
          <a:off x="5695950" y="7543800"/>
          <a:ext cx="2619375" cy="17716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Alaska</a:t>
          </a:r>
          <a:r>
            <a:rPr lang="en-US" cap="none" sz="1000" b="0" i="0" u="none" baseline="0">
              <a:solidFill>
                <a:srgbClr val="000000"/>
              </a:solidFill>
              <a:latin typeface="Times New Roman"/>
              <a:ea typeface="Times New Roman"/>
              <a:cs typeface="Times New Roman"/>
            </a:rPr>
            <a:t>                         % of total    Rate per    
</a:t>
          </a:r>
          <a:r>
            <a:rPr lang="en-US" cap="none" sz="1000" b="0" i="0" u="sng" baseline="0">
              <a:solidFill>
                <a:srgbClr val="000000"/>
              </a:solidFill>
              <a:latin typeface="Times New Roman"/>
              <a:ea typeface="Times New Roman"/>
              <a:cs typeface="Times New Roman"/>
            </a:rPr>
            <a:t>Age</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Deaths</a:t>
          </a:r>
          <a:r>
            <a:rPr lang="en-US" cap="none" sz="1000" b="0" i="0" u="none" baseline="0">
              <a:solidFill>
                <a:srgbClr val="000000"/>
              </a:solidFill>
              <a:latin typeface="Times New Roman"/>
              <a:ea typeface="Times New Roman"/>
              <a:cs typeface="Times New Roman"/>
            </a:rPr>
            <a:t>       Pop.     </a:t>
          </a:r>
          <a:r>
            <a:rPr lang="en-US" cap="none" sz="1000" b="0" i="0" u="sng" baseline="0">
              <a:solidFill>
                <a:srgbClr val="000000"/>
              </a:solidFill>
              <a:latin typeface="Times New Roman"/>
              <a:ea typeface="Times New Roman"/>
              <a:cs typeface="Times New Roman"/>
            </a:rPr>
            <a:t>(</a:t>
          </a:r>
          <a:r>
            <a:rPr lang="en-US" cap="none" sz="1000" b="0" i="1" u="sng" baseline="0">
              <a:solidFill>
                <a:srgbClr val="000000"/>
              </a:solidFill>
              <a:latin typeface="Times New Roman"/>
              <a:ea typeface="Times New Roman"/>
              <a:cs typeface="Times New Roman"/>
            </a:rPr>
            <a:t>Weight)</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100,000</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&lt;5             164      60,000     11%                274
</a:t>
          </a:r>
          <a:r>
            <a:rPr lang="en-US" cap="none" sz="1000" b="0" i="0" u="none" baseline="0">
              <a:solidFill>
                <a:srgbClr val="000000"/>
              </a:solidFill>
              <a:latin typeface="Times New Roman"/>
              <a:ea typeface="Times New Roman"/>
              <a:cs typeface="Times New Roman"/>
            </a:rPr>
            <a:t>5-19            85    130,000     25%                  65
</a:t>
          </a:r>
          <a:r>
            <a:rPr lang="en-US" cap="none" sz="1000" b="0" i="0" u="none" baseline="0">
              <a:solidFill>
                <a:srgbClr val="000000"/>
              </a:solidFill>
              <a:latin typeface="Times New Roman"/>
              <a:ea typeface="Times New Roman"/>
              <a:cs typeface="Times New Roman"/>
            </a:rPr>
            <a:t>20-44        450    240,000     45%                188
</a:t>
          </a:r>
          <a:r>
            <a:rPr lang="en-US" cap="none" sz="1000" b="0" i="0" u="none" baseline="0">
              <a:solidFill>
                <a:srgbClr val="000000"/>
              </a:solidFill>
              <a:latin typeface="Times New Roman"/>
              <a:ea typeface="Times New Roman"/>
              <a:cs typeface="Times New Roman"/>
            </a:rPr>
            <a:t>45-64        503      80,000     15%                629
</a:t>
          </a:r>
          <a:r>
            <a:rPr lang="en-US" cap="none" sz="1000" b="0" i="0" u="none" baseline="0">
              <a:solidFill>
                <a:srgbClr val="000000"/>
              </a:solidFill>
              <a:latin typeface="Times New Roman"/>
              <a:ea typeface="Times New Roman"/>
              <a:cs typeface="Times New Roman"/>
            </a:rPr>
            <a:t>&gt;65           </a:t>
          </a:r>
          <a:r>
            <a:rPr lang="en-US" cap="none" sz="1000" b="0" i="0" u="sng" baseline="0">
              <a:solidFill>
                <a:srgbClr val="000000"/>
              </a:solidFill>
              <a:latin typeface="Times New Roman"/>
              <a:ea typeface="Times New Roman"/>
              <a:cs typeface="Times New Roman"/>
            </a:rPr>
            <a:t>870</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 20,000</a:t>
          </a:r>
          <a:r>
            <a:rPr lang="en-US" cap="none" sz="1000" b="0" i="0" u="none" baseline="0">
              <a:solidFill>
                <a:srgbClr val="000000"/>
              </a:solidFill>
              <a:latin typeface="Times New Roman"/>
              <a:ea typeface="Times New Roman"/>
              <a:cs typeface="Times New Roman"/>
            </a:rPr>
            <a:t>      </a:t>
          </a:r>
          <a:r>
            <a:rPr lang="en-US" cap="none" sz="1000" b="0" i="0" u="sng" baseline="0">
              <a:solidFill>
                <a:srgbClr val="000000"/>
              </a:solidFill>
              <a:latin typeface="Times New Roman"/>
              <a:ea typeface="Times New Roman"/>
              <a:cs typeface="Times New Roman"/>
            </a:rPr>
            <a:t> 4%</a:t>
          </a:r>
          <a:r>
            <a:rPr lang="en-US" cap="none" sz="1000" b="0" i="0" u="none" baseline="0">
              <a:solidFill>
                <a:srgbClr val="000000"/>
              </a:solidFill>
              <a:latin typeface="Times New Roman"/>
              <a:ea typeface="Times New Roman"/>
              <a:cs typeface="Times New Roman"/>
            </a:rPr>
            <a:t>             4,350
</a:t>
          </a:r>
          <a:r>
            <a:rPr lang="en-US" cap="none" sz="1000" b="0" i="0" u="none" baseline="0">
              <a:solidFill>
                <a:srgbClr val="000000"/>
              </a:solidFill>
              <a:latin typeface="Times New Roman"/>
              <a:ea typeface="Times New Roman"/>
              <a:cs typeface="Times New Roman"/>
            </a:rPr>
            <a:t>Tot.       2,072    530,000    100%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Crude Rate</a:t>
          </a:r>
          <a:r>
            <a:rPr lang="en-US" cap="none" sz="1000" b="0" i="0" u="none" baseline="0">
              <a:solidFill>
                <a:srgbClr val="000000"/>
              </a:solidFill>
              <a:latin typeface="Times New Roman"/>
              <a:ea typeface="Times New Roman"/>
              <a:cs typeface="Times New Roman"/>
            </a:rPr>
            <a:t>= 2,072/530,000=391 per 100,000   </a:t>
          </a:r>
        </a:p>
      </xdr:txBody>
    </xdr:sp>
    <xdr:clientData/>
  </xdr:oneCellAnchor>
  <xdr:twoCellAnchor>
    <xdr:from>
      <xdr:col>1</xdr:col>
      <xdr:colOff>123825</xdr:colOff>
      <xdr:row>22</xdr:row>
      <xdr:rowOff>9525</xdr:rowOff>
    </xdr:from>
    <xdr:to>
      <xdr:col>1</xdr:col>
      <xdr:colOff>133350</xdr:colOff>
      <xdr:row>26</xdr:row>
      <xdr:rowOff>123825</xdr:rowOff>
    </xdr:to>
    <xdr:sp>
      <xdr:nvSpPr>
        <xdr:cNvPr id="4" name="Line 1029"/>
        <xdr:cNvSpPr>
          <a:spLocks/>
        </xdr:cNvSpPr>
      </xdr:nvSpPr>
      <xdr:spPr>
        <a:xfrm>
          <a:off x="714375" y="3886200"/>
          <a:ext cx="9525" cy="904875"/>
        </a:xfrm>
        <a:prstGeom prst="line">
          <a:avLst/>
        </a:prstGeom>
        <a:noFill/>
        <a:ln w="76200" cmpd="sng">
          <a:solidFill>
            <a:srgbClr val="DD080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40</xdr:row>
      <xdr:rowOff>9525</xdr:rowOff>
    </xdr:from>
    <xdr:to>
      <xdr:col>3</xdr:col>
      <xdr:colOff>152400</xdr:colOff>
      <xdr:row>43</xdr:row>
      <xdr:rowOff>76200</xdr:rowOff>
    </xdr:to>
    <xdr:sp>
      <xdr:nvSpPr>
        <xdr:cNvPr id="1" name="Line 1"/>
        <xdr:cNvSpPr>
          <a:spLocks/>
        </xdr:cNvSpPr>
      </xdr:nvSpPr>
      <xdr:spPr>
        <a:xfrm flipH="1">
          <a:off x="1257300" y="7229475"/>
          <a:ext cx="666750" cy="5238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44</xdr:row>
      <xdr:rowOff>76200</xdr:rowOff>
    </xdr:from>
    <xdr:to>
      <xdr:col>4</xdr:col>
      <xdr:colOff>57150</xdr:colOff>
      <xdr:row>46</xdr:row>
      <xdr:rowOff>38100</xdr:rowOff>
    </xdr:to>
    <xdr:sp>
      <xdr:nvSpPr>
        <xdr:cNvPr id="2" name="Line 3"/>
        <xdr:cNvSpPr>
          <a:spLocks/>
        </xdr:cNvSpPr>
      </xdr:nvSpPr>
      <xdr:spPr>
        <a:xfrm>
          <a:off x="1905000" y="7905750"/>
          <a:ext cx="5143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66</xdr:row>
      <xdr:rowOff>0</xdr:rowOff>
    </xdr:from>
    <xdr:to>
      <xdr:col>14</xdr:col>
      <xdr:colOff>85725</xdr:colOff>
      <xdr:row>76</xdr:row>
      <xdr:rowOff>133350</xdr:rowOff>
    </xdr:to>
    <xdr:sp>
      <xdr:nvSpPr>
        <xdr:cNvPr id="3" name="Text Box 8"/>
        <xdr:cNvSpPr txBox="1">
          <a:spLocks noChangeArrowheads="1"/>
        </xdr:cNvSpPr>
      </xdr:nvSpPr>
      <xdr:spPr>
        <a:xfrm>
          <a:off x="1809750" y="11239500"/>
          <a:ext cx="6848475" cy="16764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Note that the data is not normally distributed; it is a </a:t>
          </a:r>
          <a:r>
            <a:rPr lang="en-US" cap="none" sz="1200" b="1" i="0" u="none" baseline="0">
              <a:solidFill>
                <a:srgbClr val="000000"/>
              </a:solidFill>
              <a:latin typeface="Arial"/>
              <a:ea typeface="Arial"/>
              <a:cs typeface="Arial"/>
            </a:rPr>
            <a:t>skewed</a:t>
          </a:r>
          <a:r>
            <a:rPr lang="en-US" cap="none" sz="1200" b="0" i="0" u="none" baseline="0">
              <a:solidFill>
                <a:srgbClr val="000000"/>
              </a:solidFill>
              <a:latin typeface="Arial"/>
              <a:ea typeface="Arial"/>
              <a:cs typeface="Arial"/>
            </a:rPr>
            <a:t> distribution. As a result the standard deviation is large, relative to the mean. In situations were the distribution is quite skewed the mean and standard deviation are misleading parameters to describe the data, and it is better to use simply state the median (half of the observations are above the median and half are below) and the range (minimum &amp; maximum values). Note that in this case one mean is almost twice as large as the other, but the median values are the same. Consequently, it is not clear whether institution of the clinical pathway produced an improvement in hospital stay. With skewed data like this, a </a:t>
          </a:r>
          <a:r>
            <a:rPr lang="en-US" cap="none" sz="1200" b="1" i="0" u="none" baseline="0">
              <a:solidFill>
                <a:srgbClr val="000000"/>
              </a:solidFill>
              <a:latin typeface="Arial"/>
              <a:ea typeface="Arial"/>
              <a:cs typeface="Arial"/>
            </a:rPr>
            <a:t>common mistake</a:t>
          </a:r>
          <a:r>
            <a:rPr lang="en-US" cap="none" sz="1200" b="0" i="0" u="none" baseline="0">
              <a:solidFill>
                <a:srgbClr val="000000"/>
              </a:solidFill>
              <a:latin typeface="Arial"/>
              <a:ea typeface="Arial"/>
              <a:cs typeface="Arial"/>
            </a:rPr>
            <a:t> is to compare them using a t-test. This is </a:t>
          </a:r>
          <a:r>
            <a:rPr lang="en-US" cap="none" sz="1200" b="1" i="0" u="none" baseline="0">
              <a:solidFill>
                <a:srgbClr val="000000"/>
              </a:solidFill>
              <a:latin typeface="Arial"/>
              <a:ea typeface="Arial"/>
              <a:cs typeface="Arial"/>
            </a:rPr>
            <a:t>NOT</a:t>
          </a:r>
          <a:r>
            <a:rPr lang="en-US" cap="none" sz="1200" b="0" i="0" u="none" baseline="0">
              <a:solidFill>
                <a:srgbClr val="000000"/>
              </a:solidFill>
              <a:latin typeface="Arial"/>
              <a:ea typeface="Arial"/>
              <a:cs typeface="Arial"/>
            </a:rPr>
            <a:t> appropriate, because the validity of the t-test relies on the assumption that the data are normally distributed.</a:t>
          </a:r>
        </a:p>
      </xdr:txBody>
    </xdr:sp>
    <xdr:clientData/>
  </xdr:twoCellAnchor>
  <xdr:twoCellAnchor>
    <xdr:from>
      <xdr:col>6</xdr:col>
      <xdr:colOff>133350</xdr:colOff>
      <xdr:row>48</xdr:row>
      <xdr:rowOff>142875</xdr:rowOff>
    </xdr:from>
    <xdr:to>
      <xdr:col>13</xdr:col>
      <xdr:colOff>514350</xdr:colOff>
      <xdr:row>63</xdr:row>
      <xdr:rowOff>123825</xdr:rowOff>
    </xdr:to>
    <xdr:graphicFrame>
      <xdr:nvGraphicFramePr>
        <xdr:cNvPr id="4" name="Chart 10"/>
        <xdr:cNvGraphicFramePr/>
      </xdr:nvGraphicFramePr>
      <xdr:xfrm>
        <a:off x="3981450" y="8591550"/>
        <a:ext cx="4514850" cy="2295525"/>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12</xdr:row>
      <xdr:rowOff>0</xdr:rowOff>
    </xdr:from>
    <xdr:to>
      <xdr:col>10</xdr:col>
      <xdr:colOff>571500</xdr:colOff>
      <xdr:row>20</xdr:row>
      <xdr:rowOff>142875</xdr:rowOff>
    </xdr:to>
    <xdr:sp>
      <xdr:nvSpPr>
        <xdr:cNvPr id="5" name="Text Box 11"/>
        <xdr:cNvSpPr txBox="1">
          <a:spLocks noChangeArrowheads="1"/>
        </xdr:cNvSpPr>
      </xdr:nvSpPr>
      <xdr:spPr>
        <a:xfrm>
          <a:off x="1590675" y="2914650"/>
          <a:ext cx="5191125" cy="13620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We can rapidly get a feel for what is going on here by creating a frequency histogram. The first step is to sort each of the data sets. Begin by selecting the "before" values of LOS. Then, from the top toolbar, click on "Data", "Sort" (if you get a warning about adjacent data, just indicate you want to continue with the current selection). Also, indicate that there is no "header" row and that you want to sort in ascending order. Repeat this procedure for the other data set.</a:t>
          </a:r>
        </a:p>
      </xdr:txBody>
    </xdr:sp>
    <xdr:clientData/>
  </xdr:twoCellAnchor>
  <xdr:twoCellAnchor>
    <xdr:from>
      <xdr:col>3</xdr:col>
      <xdr:colOff>171450</xdr:colOff>
      <xdr:row>42</xdr:row>
      <xdr:rowOff>47625</xdr:rowOff>
    </xdr:from>
    <xdr:to>
      <xdr:col>6</xdr:col>
      <xdr:colOff>571500</xdr:colOff>
      <xdr:row>45</xdr:row>
      <xdr:rowOff>0</xdr:rowOff>
    </xdr:to>
    <xdr:sp>
      <xdr:nvSpPr>
        <xdr:cNvPr id="6" name="Text Box 12"/>
        <xdr:cNvSpPr txBox="1">
          <a:spLocks noChangeArrowheads="1"/>
        </xdr:cNvSpPr>
      </xdr:nvSpPr>
      <xdr:spPr>
        <a:xfrm>
          <a:off x="1943100" y="7572375"/>
          <a:ext cx="2476500" cy="40957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And you can summarize it by counting the frequency of each LOS.</a:t>
          </a:r>
        </a:p>
      </xdr:txBody>
    </xdr:sp>
    <xdr:clientData/>
  </xdr:twoCellAnchor>
  <xdr:twoCellAnchor>
    <xdr:from>
      <xdr:col>7</xdr:col>
      <xdr:colOff>447675</xdr:colOff>
      <xdr:row>62</xdr:row>
      <xdr:rowOff>104775</xdr:rowOff>
    </xdr:from>
    <xdr:to>
      <xdr:col>7</xdr:col>
      <xdr:colOff>447675</xdr:colOff>
      <xdr:row>64</xdr:row>
      <xdr:rowOff>66675</xdr:rowOff>
    </xdr:to>
    <xdr:sp>
      <xdr:nvSpPr>
        <xdr:cNvPr id="7" name="Line 13"/>
        <xdr:cNvSpPr>
          <a:spLocks/>
        </xdr:cNvSpPr>
      </xdr:nvSpPr>
      <xdr:spPr>
        <a:xfrm flipV="1">
          <a:off x="4886325" y="10715625"/>
          <a:ext cx="0" cy="2667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55</xdr:row>
      <xdr:rowOff>66675</xdr:rowOff>
    </xdr:from>
    <xdr:to>
      <xdr:col>8</xdr:col>
      <xdr:colOff>390525</xdr:colOff>
      <xdr:row>57</xdr:row>
      <xdr:rowOff>28575</xdr:rowOff>
    </xdr:to>
    <xdr:sp>
      <xdr:nvSpPr>
        <xdr:cNvPr id="8" name="Line 14"/>
        <xdr:cNvSpPr>
          <a:spLocks/>
        </xdr:cNvSpPr>
      </xdr:nvSpPr>
      <xdr:spPr>
        <a:xfrm>
          <a:off x="5419725" y="9601200"/>
          <a:ext cx="0" cy="2762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55</xdr:row>
      <xdr:rowOff>85725</xdr:rowOff>
    </xdr:from>
    <xdr:to>
      <xdr:col>7</xdr:col>
      <xdr:colOff>400050</xdr:colOff>
      <xdr:row>57</xdr:row>
      <xdr:rowOff>38100</xdr:rowOff>
    </xdr:to>
    <xdr:sp>
      <xdr:nvSpPr>
        <xdr:cNvPr id="9" name="Line 15"/>
        <xdr:cNvSpPr>
          <a:spLocks/>
        </xdr:cNvSpPr>
      </xdr:nvSpPr>
      <xdr:spPr>
        <a:xfrm>
          <a:off x="4838700" y="9620250"/>
          <a:ext cx="0" cy="2667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209550</xdr:colOff>
      <xdr:row>64</xdr:row>
      <xdr:rowOff>9525</xdr:rowOff>
    </xdr:from>
    <xdr:ext cx="485775" cy="219075"/>
    <xdr:sp>
      <xdr:nvSpPr>
        <xdr:cNvPr id="10" name="Text Box 16"/>
        <xdr:cNvSpPr txBox="1">
          <a:spLocks noChangeArrowheads="1"/>
        </xdr:cNvSpPr>
      </xdr:nvSpPr>
      <xdr:spPr>
        <a:xfrm>
          <a:off x="4648200" y="10925175"/>
          <a:ext cx="485775" cy="21907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0000"/>
              </a:solidFill>
              <a:latin typeface="Arial"/>
              <a:ea typeface="Arial"/>
              <a:cs typeface="Arial"/>
            </a:rPr>
            <a:t>Median</a:t>
          </a:r>
        </a:p>
      </xdr:txBody>
    </xdr:sp>
    <xdr:clientData/>
  </xdr:oneCellAnchor>
  <xdr:oneCellAnchor>
    <xdr:from>
      <xdr:col>8</xdr:col>
      <xdr:colOff>304800</xdr:colOff>
      <xdr:row>53</xdr:row>
      <xdr:rowOff>85725</xdr:rowOff>
    </xdr:from>
    <xdr:ext cx="428625" cy="371475"/>
    <xdr:sp>
      <xdr:nvSpPr>
        <xdr:cNvPr id="11" name="Text Box 17"/>
        <xdr:cNvSpPr txBox="1">
          <a:spLocks noChangeArrowheads="1"/>
        </xdr:cNvSpPr>
      </xdr:nvSpPr>
      <xdr:spPr>
        <a:xfrm>
          <a:off x="5334000" y="9296400"/>
          <a:ext cx="428625" cy="371475"/>
        </a:xfrm>
        <a:prstGeom prst="rect">
          <a:avLst/>
        </a:prstGeom>
        <a:noFill/>
        <a:ln w="9525" cmpd="sng">
          <a:noFill/>
        </a:ln>
      </xdr:spPr>
      <xdr:txBody>
        <a:bodyPr vertOverflow="clip" wrap="square" lIns="18288" tIns="18288" rIns="18288" bIns="0">
          <a:spAutoFit/>
        </a:bodyPr>
        <a:p>
          <a:pPr algn="ctr">
            <a:defRPr/>
          </a:pPr>
          <a:r>
            <a:rPr lang="en-US" cap="none" sz="1000" b="1" i="0" u="none" baseline="0">
              <a:solidFill>
                <a:srgbClr val="000000"/>
              </a:solidFill>
              <a:latin typeface="Arial"/>
              <a:ea typeface="Arial"/>
              <a:cs typeface="Arial"/>
            </a:rPr>
            <a:t>Mean
</a:t>
          </a:r>
          <a:r>
            <a:rPr lang="en-US" cap="none" sz="1000" b="1" i="0" u="none" baseline="0">
              <a:solidFill>
                <a:srgbClr val="000000"/>
              </a:solidFill>
              <a:latin typeface="Arial"/>
              <a:ea typeface="Arial"/>
              <a:cs typeface="Arial"/>
            </a:rPr>
            <a:t>before</a:t>
          </a:r>
        </a:p>
      </xdr:txBody>
    </xdr:sp>
    <xdr:clientData/>
  </xdr:oneCellAnchor>
  <xdr:oneCellAnchor>
    <xdr:from>
      <xdr:col>7</xdr:col>
      <xdr:colOff>476250</xdr:colOff>
      <xdr:row>53</xdr:row>
      <xdr:rowOff>38100</xdr:rowOff>
    </xdr:from>
    <xdr:ext cx="381000" cy="381000"/>
    <xdr:sp>
      <xdr:nvSpPr>
        <xdr:cNvPr id="12" name="Text Box 18"/>
        <xdr:cNvSpPr txBox="1">
          <a:spLocks noChangeArrowheads="1"/>
        </xdr:cNvSpPr>
      </xdr:nvSpPr>
      <xdr:spPr>
        <a:xfrm>
          <a:off x="4914900" y="9248775"/>
          <a:ext cx="381000" cy="381000"/>
        </a:xfrm>
        <a:prstGeom prst="rect">
          <a:avLst/>
        </a:prstGeom>
        <a:noFill/>
        <a:ln w="9525" cmpd="sng">
          <a:noFill/>
        </a:ln>
      </xdr:spPr>
      <xdr:txBody>
        <a:bodyPr vertOverflow="clip" wrap="square" lIns="18288" tIns="18288" rIns="18288" bIns="0">
          <a:spAutoFit/>
        </a:bodyPr>
        <a:p>
          <a:pPr algn="ctr">
            <a:defRPr/>
          </a:pPr>
          <a:r>
            <a:rPr lang="en-US" cap="none" sz="1000" b="1" i="0" u="none" baseline="0">
              <a:solidFill>
                <a:srgbClr val="000000"/>
              </a:solidFill>
              <a:latin typeface="Arial"/>
              <a:ea typeface="Arial"/>
              <a:cs typeface="Arial"/>
            </a:rPr>
            <a:t>Mean
</a:t>
          </a:r>
          <a:r>
            <a:rPr lang="en-US" cap="none" sz="1000" b="1" i="0" u="none" baseline="0">
              <a:solidFill>
                <a:srgbClr val="000000"/>
              </a:solidFill>
              <a:latin typeface="Arial"/>
              <a:ea typeface="Arial"/>
              <a:cs typeface="Arial"/>
            </a:rPr>
            <a:t>after</a:t>
          </a:r>
        </a:p>
      </xdr:txBody>
    </xdr:sp>
    <xdr:clientData/>
  </xdr:oneCellAnchor>
  <xdr:twoCellAnchor>
    <xdr:from>
      <xdr:col>7</xdr:col>
      <xdr:colOff>400050</xdr:colOff>
      <xdr:row>54</xdr:row>
      <xdr:rowOff>133350</xdr:rowOff>
    </xdr:from>
    <xdr:to>
      <xdr:col>7</xdr:col>
      <xdr:colOff>533400</xdr:colOff>
      <xdr:row>55</xdr:row>
      <xdr:rowOff>85725</xdr:rowOff>
    </xdr:to>
    <xdr:sp>
      <xdr:nvSpPr>
        <xdr:cNvPr id="13" name="Freeform 19"/>
        <xdr:cNvSpPr>
          <a:spLocks/>
        </xdr:cNvSpPr>
      </xdr:nvSpPr>
      <xdr:spPr>
        <a:xfrm>
          <a:off x="4838700" y="9505950"/>
          <a:ext cx="133350" cy="114300"/>
        </a:xfrm>
        <a:custGeom>
          <a:pathLst>
            <a:path h="12" w="15">
              <a:moveTo>
                <a:pt x="15" y="0"/>
              </a:moveTo>
              <a:cubicBezTo>
                <a:pt x="8" y="5"/>
                <a:pt x="2" y="11"/>
                <a:pt x="0" y="12"/>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9525</xdr:rowOff>
    </xdr:from>
    <xdr:to>
      <xdr:col>4</xdr:col>
      <xdr:colOff>76200</xdr:colOff>
      <xdr:row>0</xdr:row>
      <xdr:rowOff>371475</xdr:rowOff>
    </xdr:to>
    <xdr:sp>
      <xdr:nvSpPr>
        <xdr:cNvPr id="14" name="Text Box 22"/>
        <xdr:cNvSpPr txBox="1">
          <a:spLocks noChangeArrowheads="1"/>
        </xdr:cNvSpPr>
      </xdr:nvSpPr>
      <xdr:spPr>
        <a:xfrm>
          <a:off x="57150" y="9525"/>
          <a:ext cx="2381250" cy="352425"/>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6411"/>
              </a:solidFill>
              <a:latin typeface="Arial"/>
              <a:ea typeface="Arial"/>
              <a:cs typeface="Arial"/>
            </a:rPr>
            <a:t>Skewed Distributions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180975</xdr:colOff>
      <xdr:row>31</xdr:row>
      <xdr:rowOff>85725</xdr:rowOff>
    </xdr:from>
    <xdr:ext cx="3819525" cy="238125"/>
    <xdr:sp>
      <xdr:nvSpPr>
        <xdr:cNvPr id="1" name="Text Box 1"/>
        <xdr:cNvSpPr txBox="1">
          <a:spLocks noChangeArrowheads="1"/>
        </xdr:cNvSpPr>
      </xdr:nvSpPr>
      <xdr:spPr>
        <a:xfrm>
          <a:off x="2781300" y="5362575"/>
          <a:ext cx="3819525" cy="238125"/>
        </a:xfrm>
        <a:prstGeom prst="rect">
          <a:avLst/>
        </a:prstGeom>
        <a:solidFill>
          <a:srgbClr val="FFFF99"/>
        </a:solidFill>
        <a:ln w="9525" cmpd="sng">
          <a:solidFill>
            <a:srgbClr val="000000"/>
          </a:solidFill>
          <a:headEnd type="none"/>
          <a:tailEnd type="none"/>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Confidence interval for a mean = X =/-  t critical * SD/sqrt(n)</a:t>
          </a:r>
        </a:p>
      </xdr:txBody>
    </xdr:sp>
    <xdr:clientData/>
  </xdr:oneCellAnchor>
  <xdr:oneCellAnchor>
    <xdr:from>
      <xdr:col>0</xdr:col>
      <xdr:colOff>104775</xdr:colOff>
      <xdr:row>0</xdr:row>
      <xdr:rowOff>76200</xdr:rowOff>
    </xdr:from>
    <xdr:ext cx="4410075" cy="666750"/>
    <xdr:sp>
      <xdr:nvSpPr>
        <xdr:cNvPr id="2" name="Text Box 2"/>
        <xdr:cNvSpPr txBox="1">
          <a:spLocks noChangeArrowheads="1"/>
        </xdr:cNvSpPr>
      </xdr:nvSpPr>
      <xdr:spPr>
        <a:xfrm>
          <a:off x="104775" y="76200"/>
          <a:ext cx="4410075" cy="6667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Descriptive Statistics: Mean, Median, Mode, 95% confidence interval for a mean, Standard Deviation, Standard Error, Range (minimum and maximum)</a:t>
          </a:r>
        </a:p>
      </xdr:txBody>
    </xdr:sp>
    <xdr:clientData/>
  </xdr:oneCellAnchor>
  <xdr:twoCellAnchor>
    <xdr:from>
      <xdr:col>7</xdr:col>
      <xdr:colOff>247650</xdr:colOff>
      <xdr:row>9</xdr:row>
      <xdr:rowOff>76200</xdr:rowOff>
    </xdr:from>
    <xdr:to>
      <xdr:col>9</xdr:col>
      <xdr:colOff>85725</xdr:colOff>
      <xdr:row>15</xdr:row>
      <xdr:rowOff>47625</xdr:rowOff>
    </xdr:to>
    <xdr:sp>
      <xdr:nvSpPr>
        <xdr:cNvPr id="3" name="Text Box 3"/>
        <xdr:cNvSpPr txBox="1">
          <a:spLocks noChangeArrowheads="1"/>
        </xdr:cNvSpPr>
      </xdr:nvSpPr>
      <xdr:spPr>
        <a:xfrm>
          <a:off x="5210175" y="1952625"/>
          <a:ext cx="1514475" cy="885825"/>
        </a:xfrm>
        <a:prstGeom prst="rect">
          <a:avLst/>
        </a:prstGeom>
        <a:solidFill>
          <a:srgbClr val="FF66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Note: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worksheet is currently under development.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66675</xdr:rowOff>
    </xdr:from>
    <xdr:to>
      <xdr:col>14</xdr:col>
      <xdr:colOff>381000</xdr:colOff>
      <xdr:row>19</xdr:row>
      <xdr:rowOff>0</xdr:rowOff>
    </xdr:to>
    <xdr:sp>
      <xdr:nvSpPr>
        <xdr:cNvPr id="1" name="Text Box 11"/>
        <xdr:cNvSpPr txBox="1">
          <a:spLocks noChangeArrowheads="1"/>
        </xdr:cNvSpPr>
      </xdr:nvSpPr>
      <xdr:spPr>
        <a:xfrm>
          <a:off x="114300" y="657225"/>
          <a:ext cx="8839200" cy="25527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Unpaired t-tests (comparing two independent means):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For continuous data one is frequently asking the question "Is the mean different for these two groups?" In other words, the null hypothesis is that the groups have the same mean. If the sample size is relatively large (&gt;30) this can be done using z scores and the normal distribution. However, authors frequently use a t-test (even with large sample), and this is particularly appropriate if the sample size is small.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T-tests calculate a "t" statistic that takes into account the difference between the means, the variability in the data, and the number of observations in each group. Based on the "t" statistic and the degrees of freedom (total observations in the two groups minus 2) one can look up the probability of observing a difference this great or greater if the null hypothesis were true.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T-tests are based on several assumptions:
</a:t>
          </a:r>
          <a:r>
            <a:rPr lang="en-US" cap="none" sz="1200" b="0" i="0" u="none" baseline="0">
              <a:solidFill>
                <a:srgbClr val="000000"/>
              </a:solidFill>
              <a:latin typeface="Arial"/>
              <a:ea typeface="Arial"/>
              <a:cs typeface="Arial"/>
            </a:rPr>
            <a:t>1) that the data are reasonably close to being normally distributed
</a:t>
          </a:r>
          <a:r>
            <a:rPr lang="en-US" cap="none" sz="1200" b="0" i="0" u="none" baseline="0">
              <a:solidFill>
                <a:srgbClr val="000000"/>
              </a:solidFill>
              <a:latin typeface="Arial"/>
              <a:ea typeface="Arial"/>
              <a:cs typeface="Arial"/>
            </a:rPr>
            <a:t>2) that the two samples have similar variance &amp; standard deviation  
</a:t>
          </a:r>
          <a:r>
            <a:rPr lang="en-US" cap="none" sz="1200" b="0" i="0" u="none" baseline="0">
              <a:solidFill>
                <a:srgbClr val="000000"/>
              </a:solidFill>
              <a:latin typeface="Arial"/>
              <a:ea typeface="Arial"/>
              <a:cs typeface="Arial"/>
            </a:rPr>
            <a:t>3) that the observations are independent of each other. </a:t>
          </a:r>
        </a:p>
      </xdr:txBody>
    </xdr:sp>
    <xdr:clientData/>
  </xdr:twoCellAnchor>
  <xdr:twoCellAnchor>
    <xdr:from>
      <xdr:col>16</xdr:col>
      <xdr:colOff>9525</xdr:colOff>
      <xdr:row>8</xdr:row>
      <xdr:rowOff>76200</xdr:rowOff>
    </xdr:from>
    <xdr:to>
      <xdr:col>23</xdr:col>
      <xdr:colOff>381000</xdr:colOff>
      <xdr:row>23</xdr:row>
      <xdr:rowOff>9525</xdr:rowOff>
    </xdr:to>
    <xdr:graphicFrame>
      <xdr:nvGraphicFramePr>
        <xdr:cNvPr id="2" name="Chart 13"/>
        <xdr:cNvGraphicFramePr/>
      </xdr:nvGraphicFramePr>
      <xdr:xfrm>
        <a:off x="9763125" y="1581150"/>
        <a:ext cx="4505325" cy="229552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45</xdr:row>
      <xdr:rowOff>9525</xdr:rowOff>
    </xdr:from>
    <xdr:to>
      <xdr:col>12</xdr:col>
      <xdr:colOff>57150</xdr:colOff>
      <xdr:row>54</xdr:row>
      <xdr:rowOff>123825</xdr:rowOff>
    </xdr:to>
    <xdr:sp>
      <xdr:nvSpPr>
        <xdr:cNvPr id="3" name="Text Box 16"/>
        <xdr:cNvSpPr txBox="1">
          <a:spLocks noChangeArrowheads="1"/>
        </xdr:cNvSpPr>
      </xdr:nvSpPr>
      <xdr:spPr>
        <a:xfrm>
          <a:off x="257175" y="7229475"/>
          <a:ext cx="7191375" cy="15716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Arial"/>
              <a:ea typeface="Arial"/>
              <a:cs typeface="Arial"/>
            </a:rPr>
            <a:t>The t-test is a "parametric" test, because it relies on the legitimate use of the means and standard deviations, which are the </a:t>
          </a:r>
          <a:r>
            <a:rPr lang="en-US" cap="none" sz="1100" b="1" i="0" u="none" baseline="0">
              <a:solidFill>
                <a:srgbClr val="000000"/>
              </a:solidFill>
              <a:latin typeface="Arial"/>
              <a:ea typeface="Arial"/>
              <a:cs typeface="Arial"/>
            </a:rPr>
            <a:t>parameters</a:t>
          </a:r>
          <a:r>
            <a:rPr lang="en-US" cap="none" sz="1100" b="0" i="0" u="none" baseline="0">
              <a:solidFill>
                <a:srgbClr val="000000"/>
              </a:solidFill>
              <a:latin typeface="Arial"/>
              <a:ea typeface="Arial"/>
              <a:cs typeface="Arial"/>
            </a:rPr>
            <a:t> that define normally distributed continuous variables. If the groups you want to compare are clearly skewed (i.e. do not conform to a Normal distribution), you have two options: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Sometimes you can </a:t>
          </a:r>
          <a:r>
            <a:rPr lang="en-US" cap="none" sz="1100" b="1" i="0" u="none" baseline="0">
              <a:solidFill>
                <a:srgbClr val="000000"/>
              </a:solidFill>
              <a:latin typeface="Arial"/>
              <a:ea typeface="Arial"/>
              <a:cs typeface="Arial"/>
            </a:rPr>
            <a:t>"transform" the dat</a:t>
          </a:r>
          <a:r>
            <a:rPr lang="en-US" cap="none" sz="1100" b="0" i="0" u="none" baseline="0">
              <a:solidFill>
                <a:srgbClr val="000000"/>
              </a:solidFill>
              <a:latin typeface="Arial"/>
              <a:ea typeface="Arial"/>
              <a:cs typeface="Arial"/>
            </a:rPr>
            <a:t>a, e.g. by taking the log of each observation; if the log values are normally distributed, you can then do a t-test on the transformed data; this is legitimate.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2) You can use a </a:t>
          </a:r>
          <a:r>
            <a:rPr lang="en-US" cap="none" sz="1100" b="1" i="0" u="none" baseline="0">
              <a:solidFill>
                <a:srgbClr val="000000"/>
              </a:solidFill>
              <a:latin typeface="Arial"/>
              <a:ea typeface="Arial"/>
              <a:cs typeface="Arial"/>
            </a:rPr>
            <a:t>"non-parametric" statistical tes</a:t>
          </a:r>
          <a:r>
            <a:rPr lang="en-US" cap="none" sz="1100" b="0" i="0" u="none" baseline="0">
              <a:solidFill>
                <a:srgbClr val="000000"/>
              </a:solidFill>
              <a:latin typeface="Arial"/>
              <a:ea typeface="Arial"/>
              <a:cs typeface="Arial"/>
            </a:rPr>
            <a:t>t.
</a:t>
          </a:r>
        </a:p>
      </xdr:txBody>
    </xdr:sp>
    <xdr:clientData/>
  </xdr:twoCellAnchor>
  <xdr:twoCellAnchor>
    <xdr:from>
      <xdr:col>0</xdr:col>
      <xdr:colOff>76200</xdr:colOff>
      <xdr:row>0</xdr:row>
      <xdr:rowOff>104775</xdr:rowOff>
    </xdr:from>
    <xdr:to>
      <xdr:col>3</xdr:col>
      <xdr:colOff>180975</xdr:colOff>
      <xdr:row>0</xdr:row>
      <xdr:rowOff>409575</xdr:rowOff>
    </xdr:to>
    <xdr:sp>
      <xdr:nvSpPr>
        <xdr:cNvPr id="4" name="Text Box 17"/>
        <xdr:cNvSpPr txBox="1">
          <a:spLocks noChangeArrowheads="1"/>
        </xdr:cNvSpPr>
      </xdr:nvSpPr>
      <xdr:spPr>
        <a:xfrm>
          <a:off x="76200" y="104775"/>
          <a:ext cx="1876425" cy="30480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6411"/>
              </a:solidFill>
              <a:latin typeface="Arial"/>
              <a:ea typeface="Arial"/>
              <a:cs typeface="Arial"/>
            </a:rPr>
            <a:t>The Unpaired T-Test</a:t>
          </a:r>
        </a:p>
      </xdr:txBody>
    </xdr:sp>
    <xdr:clientData/>
  </xdr:twoCellAnchor>
  <xdr:twoCellAnchor>
    <xdr:from>
      <xdr:col>4</xdr:col>
      <xdr:colOff>219075</xdr:colOff>
      <xdr:row>21</xdr:row>
      <xdr:rowOff>152400</xdr:rowOff>
    </xdr:from>
    <xdr:to>
      <xdr:col>14</xdr:col>
      <xdr:colOff>200025</xdr:colOff>
      <xdr:row>41</xdr:row>
      <xdr:rowOff>104775</xdr:rowOff>
    </xdr:to>
    <xdr:sp>
      <xdr:nvSpPr>
        <xdr:cNvPr id="5" name="Text Box 18"/>
        <xdr:cNvSpPr txBox="1">
          <a:spLocks noChangeArrowheads="1"/>
        </xdr:cNvSpPr>
      </xdr:nvSpPr>
      <xdr:spPr>
        <a:xfrm>
          <a:off x="2581275" y="3705225"/>
          <a:ext cx="6191250" cy="30099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From a practical point of view Excel provides built in functions that make t-tests easy. Click on cell C44 to see the function used for a  t-test with equal variance. One specifies: 
</a:t>
          </a:r>
          <a:r>
            <a:rPr lang="en-US" cap="none" sz="1200" b="0" i="0" u="none" baseline="0">
              <a:solidFill>
                <a:srgbClr val="000000"/>
              </a:solidFill>
              <a:latin typeface="Arial"/>
              <a:ea typeface="Arial"/>
              <a:cs typeface="Arial"/>
            </a:rPr>
            <a:t>          • the cells where the first groups data is found,
</a:t>
          </a:r>
          <a:r>
            <a:rPr lang="en-US" cap="none" sz="1200" b="0" i="0" u="none" baseline="0">
              <a:solidFill>
                <a:srgbClr val="000000"/>
              </a:solidFill>
              <a:latin typeface="Arial"/>
              <a:ea typeface="Arial"/>
              <a:cs typeface="Arial"/>
            </a:rPr>
            <a:t>          • the cells where the second group's data is found,
</a:t>
          </a:r>
          <a:r>
            <a:rPr lang="en-US" cap="none" sz="1200" b="0" i="0" u="none" baseline="0">
              <a:solidFill>
                <a:srgbClr val="000000"/>
              </a:solidFill>
              <a:latin typeface="Arial"/>
              <a:ea typeface="Arial"/>
              <a:cs typeface="Arial"/>
            </a:rPr>
            <a:t>          • then whether it is a 2-tailed test or a 1-tailed test, and 
</a:t>
          </a:r>
          <a:r>
            <a:rPr lang="en-US" cap="none" sz="1200" b="0" i="0" u="none" baseline="0">
              <a:solidFill>
                <a:srgbClr val="000000"/>
              </a:solidFill>
              <a:latin typeface="Arial"/>
              <a:ea typeface="Arial"/>
              <a:cs typeface="Arial"/>
            </a:rPr>
            <a:t>          • finally a "2" to indicate a test for equal variance. 
</a:t>
          </a:r>
          <a:r>
            <a:rPr lang="en-US" cap="none" sz="1200" b="0" i="0" u="none" baseline="0">
              <a:solidFill>
                <a:srgbClr val="000000"/>
              </a:solidFill>
              <a:latin typeface="Arial"/>
              <a:ea typeface="Arial"/>
              <a:cs typeface="Arial"/>
            </a:rPr>
            <a:t>If the variance is unequal, there is a modified calculations that one can get by specifying "3" as the last parameter in the function (compare the formulae in cells C44 &amp; C45). As a rule of thumb, if one standard deviation is more than twice the other, you should use the unequal variance test.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Note also that the two groups do not have to have the same number of subjects.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Finally, note that in this case we are estimating the means in each group to test whether they are different; consequently, it is appropriate to calculate SEM, which is SD divided by the square root of 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5</xdr:row>
      <xdr:rowOff>180975</xdr:rowOff>
    </xdr:from>
    <xdr:to>
      <xdr:col>13</xdr:col>
      <xdr:colOff>38100</xdr:colOff>
      <xdr:row>15</xdr:row>
      <xdr:rowOff>104775</xdr:rowOff>
    </xdr:to>
    <xdr:sp>
      <xdr:nvSpPr>
        <xdr:cNvPr id="1" name="Text Box 1"/>
        <xdr:cNvSpPr txBox="1">
          <a:spLocks noChangeArrowheads="1"/>
        </xdr:cNvSpPr>
      </xdr:nvSpPr>
      <xdr:spPr>
        <a:xfrm>
          <a:off x="3848100" y="1133475"/>
          <a:ext cx="5124450" cy="15525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columns of data to the left are serum creatinine levels among 4 groups of subjects. A one-factor analysis of variance can be performed to determine whether there are significant differences in the means of these groups.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Select the block of data (including column labels) from B2:E27. Then, from the upper menu, select "Tools", then "Data Analysis", then "Single Factor Analysis of Variance". Check the box for labels, and specify the Output Range as G12. The result is shown in the box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p-value (0.0764) indicates differences in means that do not quite meet the alpha=0.05 criterion for statistical significance.</a:t>
          </a:r>
        </a:p>
      </xdr:txBody>
    </xdr:sp>
    <xdr:clientData/>
  </xdr:twoCellAnchor>
  <xdr:twoCellAnchor>
    <xdr:from>
      <xdr:col>0</xdr:col>
      <xdr:colOff>142875</xdr:colOff>
      <xdr:row>4</xdr:row>
      <xdr:rowOff>66675</xdr:rowOff>
    </xdr:from>
    <xdr:to>
      <xdr:col>4</xdr:col>
      <xdr:colOff>504825</xdr:colOff>
      <xdr:row>5</xdr:row>
      <xdr:rowOff>104775</xdr:rowOff>
    </xdr:to>
    <xdr:sp>
      <xdr:nvSpPr>
        <xdr:cNvPr id="2" name="Text Box 2"/>
        <xdr:cNvSpPr txBox="1">
          <a:spLocks noChangeArrowheads="1"/>
        </xdr:cNvSpPr>
      </xdr:nvSpPr>
      <xdr:spPr>
        <a:xfrm>
          <a:off x="142875" y="685800"/>
          <a:ext cx="3238500" cy="371475"/>
        </a:xfrm>
        <a:prstGeom prst="rect">
          <a:avLst/>
        </a:prstGeom>
        <a:solidFill>
          <a:srgbClr val="FFFF99"/>
        </a:solidFill>
        <a:ln w="9525" cmpd="sng">
          <a:solidFill>
            <a:srgbClr val="000000"/>
          </a:solidFill>
          <a:headEnd type="none"/>
          <a:tailEnd type="none"/>
        </a:ln>
      </xdr:spPr>
      <xdr:txBody>
        <a:bodyPr vertOverflow="clip" wrap="square" lIns="45720" tIns="32004" rIns="45720" bIns="0"/>
        <a:p>
          <a:pPr algn="ctr">
            <a:defRPr/>
          </a:pPr>
          <a:r>
            <a:rPr lang="en-US" cap="none" sz="2200" b="0" i="0" u="none" baseline="0">
              <a:solidFill>
                <a:srgbClr val="000000"/>
              </a:solidFill>
              <a:latin typeface="Arial"/>
              <a:ea typeface="Arial"/>
              <a:cs typeface="Arial"/>
            </a:rPr>
            <a:t>Analysis of Variance (ANOVA)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8</xdr:row>
      <xdr:rowOff>276225</xdr:rowOff>
    </xdr:from>
    <xdr:to>
      <xdr:col>14</xdr:col>
      <xdr:colOff>219075</xdr:colOff>
      <xdr:row>10</xdr:row>
      <xdr:rowOff>57150</xdr:rowOff>
    </xdr:to>
    <xdr:grpSp>
      <xdr:nvGrpSpPr>
        <xdr:cNvPr id="1" name="Group 1"/>
        <xdr:cNvGrpSpPr>
          <a:grpSpLocks/>
        </xdr:cNvGrpSpPr>
      </xdr:nvGrpSpPr>
      <xdr:grpSpPr>
        <a:xfrm>
          <a:off x="6753225" y="1781175"/>
          <a:ext cx="2266950" cy="866775"/>
          <a:chOff x="816" y="336"/>
          <a:chExt cx="1300" cy="529"/>
        </a:xfrm>
        <a:solidFill>
          <a:srgbClr val="FFFFFF"/>
        </a:solidFill>
      </xdr:grpSpPr>
      <xdr:grpSp>
        <xdr:nvGrpSpPr>
          <xdr:cNvPr id="2" name="Group 2"/>
          <xdr:cNvGrpSpPr>
            <a:grpSpLocks/>
          </xdr:cNvGrpSpPr>
        </xdr:nvGrpSpPr>
        <xdr:grpSpPr>
          <a:xfrm>
            <a:off x="1289" y="336"/>
            <a:ext cx="827" cy="529"/>
            <a:chOff x="1289" y="384"/>
            <a:chExt cx="827" cy="485"/>
          </a:xfrm>
          <a:solidFill>
            <a:srgbClr val="FFFFFF"/>
          </a:solidFill>
        </xdr:grpSpPr>
        <xdr:sp>
          <xdr:nvSpPr>
            <xdr:cNvPr id="3" name="Text Box 3"/>
            <xdr:cNvSpPr txBox="1">
              <a:spLocks noChangeArrowheads="1"/>
            </xdr:cNvSpPr>
          </xdr:nvSpPr>
          <xdr:spPr>
            <a:xfrm>
              <a:off x="1574" y="455"/>
              <a:ext cx="468" cy="370"/>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(O-E)
</a:t>
              </a:r>
              <a:r>
                <a:rPr lang="en-US" cap="none" sz="1800" b="0" i="0" u="none" baseline="0">
                  <a:solidFill>
                    <a:srgbClr val="000000"/>
                  </a:solidFill>
                  <a:latin typeface="Arial"/>
                  <a:ea typeface="Arial"/>
                  <a:cs typeface="Arial"/>
                </a:rPr>
                <a:t>   E
</a:t>
              </a:r>
            </a:p>
          </xdr:txBody>
        </xdr:sp>
        <xdr:sp>
          <xdr:nvSpPr>
            <xdr:cNvPr id="4" name="Text Box 4"/>
            <xdr:cNvSpPr txBox="1">
              <a:spLocks noChangeArrowheads="1"/>
            </xdr:cNvSpPr>
          </xdr:nvSpPr>
          <xdr:spPr>
            <a:xfrm>
              <a:off x="1920" y="384"/>
              <a:ext cx="196" cy="212"/>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2
</a:t>
              </a:r>
            </a:p>
          </xdr:txBody>
        </xdr:sp>
        <xdr:sp>
          <xdr:nvSpPr>
            <xdr:cNvPr id="5" name="Text Box 5"/>
            <xdr:cNvSpPr txBox="1">
              <a:spLocks noChangeArrowheads="1"/>
            </xdr:cNvSpPr>
          </xdr:nvSpPr>
          <xdr:spPr>
            <a:xfrm>
              <a:off x="1289" y="393"/>
              <a:ext cx="343" cy="476"/>
            </a:xfrm>
            <a:prstGeom prst="rect">
              <a:avLst/>
            </a:prstGeom>
            <a:noFill/>
            <a:ln w="9525" cmpd="sng">
              <a:noFill/>
            </a:ln>
          </xdr:spPr>
          <xdr:txBody>
            <a:bodyPr vertOverflow="clip" wrap="square"/>
            <a:p>
              <a:pPr algn="l">
                <a:defRPr/>
              </a:pPr>
              <a:r>
                <a:rPr lang="en-US" cap="none" sz="4800" b="0" i="0" u="none" baseline="0">
                  <a:solidFill>
                    <a:srgbClr val="000000"/>
                  </a:solidFill>
                  <a:latin typeface="Symbol"/>
                  <a:ea typeface="Symbol"/>
                  <a:cs typeface="Symbol"/>
                </a:rPr>
                <a:t></a:t>
              </a:r>
              <a:r>
                <a:rPr lang="en-US" cap="none" sz="4800" b="0" i="0" u="none" baseline="0">
                  <a:solidFill>
                    <a:srgbClr val="000000"/>
                  </a:solidFill>
                  <a:latin typeface="Symbol"/>
                  <a:ea typeface="Symbol"/>
                  <a:cs typeface="Symbol"/>
                </a:rPr>
                <a:t>
</a:t>
              </a:r>
            </a:p>
          </xdr:txBody>
        </xdr:sp>
        <xdr:sp>
          <xdr:nvSpPr>
            <xdr:cNvPr id="6" name="Line 6"/>
            <xdr:cNvSpPr>
              <a:spLocks/>
            </xdr:cNvSpPr>
          </xdr:nvSpPr>
          <xdr:spPr>
            <a:xfrm>
              <a:off x="1584" y="672"/>
              <a:ext cx="4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Box 7"/>
          <xdr:cNvSpPr txBox="1">
            <a:spLocks noChangeArrowheads="1"/>
          </xdr:cNvSpPr>
        </xdr:nvSpPr>
        <xdr:spPr>
          <a:xfrm>
            <a:off x="816" y="451"/>
            <a:ext cx="604" cy="365"/>
          </a:xfrm>
          <a:prstGeom prst="rect">
            <a:avLst/>
          </a:prstGeom>
          <a:noFill/>
          <a:ln w="9525" cmpd="sng">
            <a:noFill/>
          </a:ln>
        </xdr:spPr>
        <xdr:txBody>
          <a:bodyPr vertOverflow="clip" wrap="square"/>
          <a:p>
            <a:pPr algn="l">
              <a:defRPr/>
            </a:pPr>
            <a:r>
              <a:rPr lang="en-US" cap="none" sz="3200" b="0" i="0" u="none" baseline="0">
                <a:solidFill>
                  <a:srgbClr val="000000"/>
                </a:solidFill>
                <a:latin typeface="Symbol"/>
                <a:ea typeface="Symbol"/>
                <a:cs typeface="Symbol"/>
              </a:rPr>
              <a:t></a:t>
            </a:r>
            <a:r>
              <a:rPr lang="en-US" cap="none" sz="3200" b="0" i="0" u="none" baseline="0">
                <a:solidFill>
                  <a:srgbClr val="000000"/>
                </a:solidFill>
                <a:latin typeface="Arial"/>
                <a:ea typeface="Arial"/>
                <a:cs typeface="Arial"/>
              </a:rPr>
              <a:t>=
</a:t>
            </a:r>
          </a:p>
        </xdr:txBody>
      </xdr:sp>
      <xdr:sp>
        <xdr:nvSpPr>
          <xdr:cNvPr id="8" name="Text Box 8"/>
          <xdr:cNvSpPr txBox="1">
            <a:spLocks noChangeArrowheads="1"/>
          </xdr:cNvSpPr>
        </xdr:nvSpPr>
        <xdr:spPr>
          <a:xfrm>
            <a:off x="960" y="480"/>
            <a:ext cx="196" cy="231"/>
          </a:xfrm>
          <a:prstGeom prst="rect">
            <a:avLst/>
          </a:prstGeom>
          <a:noFill/>
          <a:ln w="9525" cmpd="sng">
            <a:noFill/>
          </a:ln>
        </xdr:spPr>
        <xdr:txBody>
          <a:bodyPr vertOverflow="clip" wrap="square"/>
          <a:p>
            <a:pPr algn="l">
              <a:defRPr/>
            </a:pPr>
            <a:r>
              <a:rPr lang="en-US" cap="none" sz="1800" b="0" i="0" u="none" baseline="0">
                <a:solidFill>
                  <a:srgbClr val="000000"/>
                </a:solidFill>
                <a:latin typeface="Arial"/>
                <a:ea typeface="Arial"/>
                <a:cs typeface="Arial"/>
              </a:rPr>
              <a:t>2
</a:t>
            </a:r>
          </a:p>
        </xdr:txBody>
      </xdr:sp>
    </xdr:grpSp>
    <xdr:clientData/>
  </xdr:twoCellAnchor>
  <xdr:twoCellAnchor>
    <xdr:from>
      <xdr:col>6</xdr:col>
      <xdr:colOff>85725</xdr:colOff>
      <xdr:row>5</xdr:row>
      <xdr:rowOff>142875</xdr:rowOff>
    </xdr:from>
    <xdr:to>
      <xdr:col>6</xdr:col>
      <xdr:colOff>581025</xdr:colOff>
      <xdr:row>7</xdr:row>
      <xdr:rowOff>0</xdr:rowOff>
    </xdr:to>
    <xdr:sp>
      <xdr:nvSpPr>
        <xdr:cNvPr id="9" name="Line 9"/>
        <xdr:cNvSpPr>
          <a:spLocks/>
        </xdr:cNvSpPr>
      </xdr:nvSpPr>
      <xdr:spPr>
        <a:xfrm flipV="1">
          <a:off x="4162425" y="1190625"/>
          <a:ext cx="4857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6</xdr:row>
      <xdr:rowOff>9525</xdr:rowOff>
    </xdr:from>
    <xdr:to>
      <xdr:col>8</xdr:col>
      <xdr:colOff>371475</xdr:colOff>
      <xdr:row>6</xdr:row>
      <xdr:rowOff>114300</xdr:rowOff>
    </xdr:to>
    <xdr:sp>
      <xdr:nvSpPr>
        <xdr:cNvPr id="10" name="Line 10"/>
        <xdr:cNvSpPr>
          <a:spLocks/>
        </xdr:cNvSpPr>
      </xdr:nvSpPr>
      <xdr:spPr>
        <a:xfrm flipV="1">
          <a:off x="4752975" y="1209675"/>
          <a:ext cx="11239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10</xdr:row>
      <xdr:rowOff>0</xdr:rowOff>
    </xdr:from>
    <xdr:to>
      <xdr:col>1</xdr:col>
      <xdr:colOff>38100</xdr:colOff>
      <xdr:row>12</xdr:row>
      <xdr:rowOff>38100</xdr:rowOff>
    </xdr:to>
    <xdr:sp>
      <xdr:nvSpPr>
        <xdr:cNvPr id="11" name="Line 12"/>
        <xdr:cNvSpPr>
          <a:spLocks/>
        </xdr:cNvSpPr>
      </xdr:nvSpPr>
      <xdr:spPr>
        <a:xfrm>
          <a:off x="581025" y="2590800"/>
          <a:ext cx="3238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8</xdr:row>
      <xdr:rowOff>314325</xdr:rowOff>
    </xdr:from>
    <xdr:to>
      <xdr:col>10</xdr:col>
      <xdr:colOff>390525</xdr:colOff>
      <xdr:row>8</xdr:row>
      <xdr:rowOff>609600</xdr:rowOff>
    </xdr:to>
    <xdr:sp>
      <xdr:nvSpPr>
        <xdr:cNvPr id="12" name="Line 13"/>
        <xdr:cNvSpPr>
          <a:spLocks/>
        </xdr:cNvSpPr>
      </xdr:nvSpPr>
      <xdr:spPr>
        <a:xfrm>
          <a:off x="5876925" y="1819275"/>
          <a:ext cx="8763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0</xdr:row>
      <xdr:rowOff>47625</xdr:rowOff>
    </xdr:from>
    <xdr:to>
      <xdr:col>2</xdr:col>
      <xdr:colOff>609600</xdr:colOff>
      <xdr:row>0</xdr:row>
      <xdr:rowOff>381000</xdr:rowOff>
    </xdr:to>
    <xdr:sp>
      <xdr:nvSpPr>
        <xdr:cNvPr id="13" name="Text Box 14"/>
        <xdr:cNvSpPr txBox="1">
          <a:spLocks noChangeArrowheads="1"/>
        </xdr:cNvSpPr>
      </xdr:nvSpPr>
      <xdr:spPr>
        <a:xfrm>
          <a:off x="361950" y="47625"/>
          <a:ext cx="1828800" cy="333375"/>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0" i="0" u="none" baseline="0">
              <a:solidFill>
                <a:srgbClr val="006411"/>
              </a:solidFill>
              <a:latin typeface="Arial"/>
              <a:ea typeface="Arial"/>
              <a:cs typeface="Arial"/>
            </a:rPr>
            <a:t>Chi Squared Test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104775</xdr:rowOff>
    </xdr:from>
    <xdr:to>
      <xdr:col>13</xdr:col>
      <xdr:colOff>257175</xdr:colOff>
      <xdr:row>0</xdr:row>
      <xdr:rowOff>447675</xdr:rowOff>
    </xdr:to>
    <xdr:sp>
      <xdr:nvSpPr>
        <xdr:cNvPr id="1" name="Text Box 1025"/>
        <xdr:cNvSpPr txBox="1">
          <a:spLocks noChangeArrowheads="1"/>
        </xdr:cNvSpPr>
      </xdr:nvSpPr>
      <xdr:spPr>
        <a:xfrm>
          <a:off x="3171825" y="104775"/>
          <a:ext cx="3771900" cy="34290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1" i="0" u="none" baseline="0">
              <a:solidFill>
                <a:srgbClr val="000000"/>
              </a:solidFill>
              <a:latin typeface="Arial"/>
              <a:ea typeface="Arial"/>
              <a:cs typeface="Arial"/>
            </a:rPr>
            <a:t>Confidence Intervals for a Proportion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11</xdr:row>
      <xdr:rowOff>47625</xdr:rowOff>
    </xdr:from>
    <xdr:to>
      <xdr:col>8</xdr:col>
      <xdr:colOff>533400</xdr:colOff>
      <xdr:row>27</xdr:row>
      <xdr:rowOff>28575</xdr:rowOff>
    </xdr:to>
    <xdr:graphicFrame>
      <xdr:nvGraphicFramePr>
        <xdr:cNvPr id="1" name="Chart 2"/>
        <xdr:cNvGraphicFramePr/>
      </xdr:nvGraphicFramePr>
      <xdr:xfrm>
        <a:off x="76200" y="2162175"/>
        <a:ext cx="5267325" cy="2419350"/>
      </xdr:xfrm>
      <a:graphic>
        <a:graphicData uri="http://schemas.openxmlformats.org/drawingml/2006/chart">
          <c:chart xmlns:c="http://schemas.openxmlformats.org/drawingml/2006/chart" r:id="rId1"/>
        </a:graphicData>
      </a:graphic>
    </xdr:graphicFrame>
    <xdr:clientData/>
  </xdr:twoCellAnchor>
  <xdr:twoCellAnchor>
    <xdr:from>
      <xdr:col>8</xdr:col>
      <xdr:colOff>552450</xdr:colOff>
      <xdr:row>2</xdr:row>
      <xdr:rowOff>28575</xdr:rowOff>
    </xdr:from>
    <xdr:to>
      <xdr:col>15</xdr:col>
      <xdr:colOff>76200</xdr:colOff>
      <xdr:row>29</xdr:row>
      <xdr:rowOff>123825</xdr:rowOff>
    </xdr:to>
    <xdr:sp>
      <xdr:nvSpPr>
        <xdr:cNvPr id="2" name="Text Box 3"/>
        <xdr:cNvSpPr txBox="1">
          <a:spLocks noChangeArrowheads="1"/>
        </xdr:cNvSpPr>
      </xdr:nvSpPr>
      <xdr:spPr>
        <a:xfrm>
          <a:off x="5362575" y="495300"/>
          <a:ext cx="3657600" cy="448627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The "dependent" variable (outcome of interest) here is savings and the independent variable is time. The data (X and Y values) are contained in the block of cells from B3 to C10. The analysis is performed using several functions that are built into Excel. The SLOPE "m" is calculated in cell H3 using the Excel function "=SLOPE(C3:C10,B3:B10) " . So basically you need to specify where the data is, with the "Y" values specified first.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Y-INTERCEPT "b" is calculated in H4 from the Excel function "INTERCEPT(C3:C10,B3:B10); again, the data block is specified, given the location of the "Y" values first. From these two parameters, one can now specify the line of best fit using the form Y=b + mX.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calculate the correlation coefficient for this relationship one would use the Excel function "=CORREL(B3:B10,C3:C10)" which is located in H6. Finally, in H7, I squared what I got in H6 in order to calculate "r-squared", which indicates what percentage of the variability in earnings is explained by time.  </a:t>
          </a:r>
        </a:p>
      </xdr:txBody>
    </xdr:sp>
    <xdr:clientData/>
  </xdr:twoCellAnchor>
  <xdr:twoCellAnchor>
    <xdr:from>
      <xdr:col>0</xdr:col>
      <xdr:colOff>219075</xdr:colOff>
      <xdr:row>26</xdr:row>
      <xdr:rowOff>38100</xdr:rowOff>
    </xdr:from>
    <xdr:to>
      <xdr:col>8</xdr:col>
      <xdr:colOff>571500</xdr:colOff>
      <xdr:row>30</xdr:row>
      <xdr:rowOff>76200</xdr:rowOff>
    </xdr:to>
    <xdr:sp>
      <xdr:nvSpPr>
        <xdr:cNvPr id="3" name="Text Box 4"/>
        <xdr:cNvSpPr txBox="1">
          <a:spLocks noChangeArrowheads="1"/>
        </xdr:cNvSpPr>
      </xdr:nvSpPr>
      <xdr:spPr>
        <a:xfrm>
          <a:off x="219075" y="4438650"/>
          <a:ext cx="5162550" cy="657225"/>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I used the graphing tool to plot the individual data points (blue diamonds) and the line of best fit (pink line).</a:t>
          </a:r>
        </a:p>
      </xdr:txBody>
    </xdr:sp>
    <xdr:clientData/>
  </xdr:twoCellAnchor>
  <xdr:twoCellAnchor>
    <xdr:from>
      <xdr:col>0</xdr:col>
      <xdr:colOff>66675</xdr:colOff>
      <xdr:row>0</xdr:row>
      <xdr:rowOff>28575</xdr:rowOff>
    </xdr:from>
    <xdr:to>
      <xdr:col>7</xdr:col>
      <xdr:colOff>571500</xdr:colOff>
      <xdr:row>0</xdr:row>
      <xdr:rowOff>276225</xdr:rowOff>
    </xdr:to>
    <xdr:sp>
      <xdr:nvSpPr>
        <xdr:cNvPr id="4" name="Text Box 5"/>
        <xdr:cNvSpPr txBox="1">
          <a:spLocks noChangeArrowheads="1"/>
        </xdr:cNvSpPr>
      </xdr:nvSpPr>
      <xdr:spPr>
        <a:xfrm>
          <a:off x="66675" y="28575"/>
          <a:ext cx="4724400" cy="257175"/>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400" b="0" i="0" u="none" baseline="0">
              <a:solidFill>
                <a:srgbClr val="000000"/>
              </a:solidFill>
              <a:latin typeface="Arial"/>
              <a:ea typeface="Arial"/>
              <a:cs typeface="Arial"/>
            </a:rPr>
            <a:t>Correlation, Linear Regression, and the Line of Best Fit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9</xdr:row>
      <xdr:rowOff>9525</xdr:rowOff>
    </xdr:from>
    <xdr:to>
      <xdr:col>13</xdr:col>
      <xdr:colOff>66675</xdr:colOff>
      <xdr:row>15</xdr:row>
      <xdr:rowOff>76200</xdr:rowOff>
    </xdr:to>
    <xdr:sp>
      <xdr:nvSpPr>
        <xdr:cNvPr id="1" name="Text Box 1"/>
        <xdr:cNvSpPr txBox="1">
          <a:spLocks noChangeArrowheads="1"/>
        </xdr:cNvSpPr>
      </xdr:nvSpPr>
      <xdr:spPr>
        <a:xfrm>
          <a:off x="5295900" y="1524000"/>
          <a:ext cx="3038475" cy="9810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4) I selected the block of data to the left with dates and tallies, and used the graphing tool (beneath the "Help" menu at the top toolbar) to create a vertical column chart as shown below.</a:t>
          </a:r>
        </a:p>
      </xdr:txBody>
    </xdr:sp>
    <xdr:clientData/>
  </xdr:twoCellAnchor>
  <xdr:twoCellAnchor>
    <xdr:from>
      <xdr:col>5</xdr:col>
      <xdr:colOff>76200</xdr:colOff>
      <xdr:row>15</xdr:row>
      <xdr:rowOff>142875</xdr:rowOff>
    </xdr:from>
    <xdr:to>
      <xdr:col>12</xdr:col>
      <xdr:colOff>485775</xdr:colOff>
      <xdr:row>31</xdr:row>
      <xdr:rowOff>76200</xdr:rowOff>
    </xdr:to>
    <xdr:graphicFrame>
      <xdr:nvGraphicFramePr>
        <xdr:cNvPr id="2" name="Chart 2"/>
        <xdr:cNvGraphicFramePr/>
      </xdr:nvGraphicFramePr>
      <xdr:xfrm>
        <a:off x="3524250" y="2571750"/>
        <a:ext cx="4543425" cy="237172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15</xdr:row>
      <xdr:rowOff>9525</xdr:rowOff>
    </xdr:from>
    <xdr:to>
      <xdr:col>7</xdr:col>
      <xdr:colOff>76200</xdr:colOff>
      <xdr:row>17</xdr:row>
      <xdr:rowOff>28575</xdr:rowOff>
    </xdr:to>
    <xdr:sp>
      <xdr:nvSpPr>
        <xdr:cNvPr id="3" name="Line 3"/>
        <xdr:cNvSpPr>
          <a:spLocks/>
        </xdr:cNvSpPr>
      </xdr:nvSpPr>
      <xdr:spPr>
        <a:xfrm>
          <a:off x="4705350" y="2438400"/>
          <a:ext cx="0" cy="32385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15</xdr:row>
      <xdr:rowOff>9525</xdr:rowOff>
    </xdr:from>
    <xdr:to>
      <xdr:col>2</xdr:col>
      <xdr:colOff>123825</xdr:colOff>
      <xdr:row>17</xdr:row>
      <xdr:rowOff>9525</xdr:rowOff>
    </xdr:to>
    <xdr:sp>
      <xdr:nvSpPr>
        <xdr:cNvPr id="4" name="Oval 4"/>
        <xdr:cNvSpPr>
          <a:spLocks/>
        </xdr:cNvSpPr>
      </xdr:nvSpPr>
      <xdr:spPr>
        <a:xfrm>
          <a:off x="1304925" y="2438400"/>
          <a:ext cx="495300" cy="304800"/>
        </a:xfrm>
        <a:prstGeom prst="ellipse">
          <a:avLst/>
        </a:prstGeom>
        <a:noFill/>
        <a:ln w="3810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7</xdr:row>
      <xdr:rowOff>104775</xdr:rowOff>
    </xdr:from>
    <xdr:to>
      <xdr:col>4</xdr:col>
      <xdr:colOff>447675</xdr:colOff>
      <xdr:row>15</xdr:row>
      <xdr:rowOff>142875</xdr:rowOff>
    </xdr:to>
    <xdr:sp>
      <xdr:nvSpPr>
        <xdr:cNvPr id="5" name="Line 5"/>
        <xdr:cNvSpPr>
          <a:spLocks/>
        </xdr:cNvSpPr>
      </xdr:nvSpPr>
      <xdr:spPr>
        <a:xfrm flipV="1">
          <a:off x="1809750" y="1314450"/>
          <a:ext cx="1495425" cy="1257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7</xdr:row>
      <xdr:rowOff>0</xdr:rowOff>
    </xdr:from>
    <xdr:to>
      <xdr:col>5</xdr:col>
      <xdr:colOff>209550</xdr:colOff>
      <xdr:row>11</xdr:row>
      <xdr:rowOff>0</xdr:rowOff>
    </xdr:to>
    <xdr:sp>
      <xdr:nvSpPr>
        <xdr:cNvPr id="6" name="Oval 6"/>
        <xdr:cNvSpPr>
          <a:spLocks/>
        </xdr:cNvSpPr>
      </xdr:nvSpPr>
      <xdr:spPr>
        <a:xfrm>
          <a:off x="3171825" y="1209675"/>
          <a:ext cx="485775" cy="609600"/>
        </a:xfrm>
        <a:prstGeom prst="ellipse">
          <a:avLst/>
        </a:prstGeom>
        <a:noFill/>
        <a:ln w="3810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16</xdr:row>
      <xdr:rowOff>104775</xdr:rowOff>
    </xdr:from>
    <xdr:to>
      <xdr:col>2</xdr:col>
      <xdr:colOff>180975</xdr:colOff>
      <xdr:row>21</xdr:row>
      <xdr:rowOff>9525</xdr:rowOff>
    </xdr:to>
    <xdr:sp>
      <xdr:nvSpPr>
        <xdr:cNvPr id="7" name="Oval 7"/>
        <xdr:cNvSpPr>
          <a:spLocks/>
        </xdr:cNvSpPr>
      </xdr:nvSpPr>
      <xdr:spPr>
        <a:xfrm>
          <a:off x="1362075" y="2686050"/>
          <a:ext cx="495300" cy="666750"/>
        </a:xfrm>
        <a:prstGeom prst="ellipse">
          <a:avLst/>
        </a:prstGeom>
        <a:noFill/>
        <a:ln w="3810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9</xdr:row>
      <xdr:rowOff>104775</xdr:rowOff>
    </xdr:from>
    <xdr:to>
      <xdr:col>4</xdr:col>
      <xdr:colOff>457200</xdr:colOff>
      <xdr:row>18</xdr:row>
      <xdr:rowOff>104775</xdr:rowOff>
    </xdr:to>
    <xdr:sp>
      <xdr:nvSpPr>
        <xdr:cNvPr id="8" name="Line 8"/>
        <xdr:cNvSpPr>
          <a:spLocks/>
        </xdr:cNvSpPr>
      </xdr:nvSpPr>
      <xdr:spPr>
        <a:xfrm flipV="1">
          <a:off x="1885950" y="1619250"/>
          <a:ext cx="1428750" cy="1371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8</xdr:row>
      <xdr:rowOff>104775</xdr:rowOff>
    </xdr:from>
    <xdr:to>
      <xdr:col>6</xdr:col>
      <xdr:colOff>266700</xdr:colOff>
      <xdr:row>10</xdr:row>
      <xdr:rowOff>85725</xdr:rowOff>
    </xdr:to>
    <xdr:sp>
      <xdr:nvSpPr>
        <xdr:cNvPr id="9" name="Line 9"/>
        <xdr:cNvSpPr>
          <a:spLocks/>
        </xdr:cNvSpPr>
      </xdr:nvSpPr>
      <xdr:spPr>
        <a:xfrm>
          <a:off x="3695700" y="1466850"/>
          <a:ext cx="6096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xdr:row>
      <xdr:rowOff>0</xdr:rowOff>
    </xdr:from>
    <xdr:to>
      <xdr:col>1</xdr:col>
      <xdr:colOff>180975</xdr:colOff>
      <xdr:row>4</xdr:row>
      <xdr:rowOff>123825</xdr:rowOff>
    </xdr:to>
    <xdr:sp>
      <xdr:nvSpPr>
        <xdr:cNvPr id="10" name="Text Box 10"/>
        <xdr:cNvSpPr txBox="1">
          <a:spLocks noChangeArrowheads="1"/>
        </xdr:cNvSpPr>
      </xdr:nvSpPr>
      <xdr:spPr>
        <a:xfrm>
          <a:off x="76200" y="447675"/>
          <a:ext cx="1190625"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1) The cases are sorted by date of disease onset.</a:t>
          </a:r>
        </a:p>
      </xdr:txBody>
    </xdr:sp>
    <xdr:clientData/>
  </xdr:twoCellAnchor>
  <xdr:twoCellAnchor>
    <xdr:from>
      <xdr:col>1</xdr:col>
      <xdr:colOff>104775</xdr:colOff>
      <xdr:row>21</xdr:row>
      <xdr:rowOff>47625</xdr:rowOff>
    </xdr:from>
    <xdr:to>
      <xdr:col>3</xdr:col>
      <xdr:colOff>114300</xdr:colOff>
      <xdr:row>25</xdr:row>
      <xdr:rowOff>0</xdr:rowOff>
    </xdr:to>
    <xdr:sp>
      <xdr:nvSpPr>
        <xdr:cNvPr id="11" name="Text Box 11"/>
        <xdr:cNvSpPr txBox="1">
          <a:spLocks noChangeArrowheads="1"/>
        </xdr:cNvSpPr>
      </xdr:nvSpPr>
      <xdr:spPr>
        <a:xfrm>
          <a:off x="1190625" y="3390900"/>
          <a:ext cx="1190625" cy="5619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2) Then, tally the number of cases by day.</a:t>
          </a:r>
        </a:p>
      </xdr:txBody>
    </xdr:sp>
    <xdr:clientData/>
  </xdr:twoCellAnchor>
  <xdr:twoCellAnchor>
    <xdr:from>
      <xdr:col>8</xdr:col>
      <xdr:colOff>314325</xdr:colOff>
      <xdr:row>3</xdr:row>
      <xdr:rowOff>114300</xdr:rowOff>
    </xdr:from>
    <xdr:to>
      <xdr:col>11</xdr:col>
      <xdr:colOff>257175</xdr:colOff>
      <xdr:row>7</xdr:row>
      <xdr:rowOff>85725</xdr:rowOff>
    </xdr:to>
    <xdr:sp>
      <xdr:nvSpPr>
        <xdr:cNvPr id="12" name="Text Box 12"/>
        <xdr:cNvSpPr txBox="1">
          <a:spLocks noChangeArrowheads="1"/>
        </xdr:cNvSpPr>
      </xdr:nvSpPr>
      <xdr:spPr>
        <a:xfrm>
          <a:off x="5534025" y="714375"/>
          <a:ext cx="1714500" cy="5810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3) Starting with 4/28, I then, tallied the number of cases at 4 day intervals.</a:t>
          </a:r>
        </a:p>
      </xdr:txBody>
    </xdr:sp>
    <xdr:clientData/>
  </xdr:twoCellAnchor>
  <xdr:twoCellAnchor>
    <xdr:from>
      <xdr:col>1</xdr:col>
      <xdr:colOff>133350</xdr:colOff>
      <xdr:row>0</xdr:row>
      <xdr:rowOff>28575</xdr:rowOff>
    </xdr:from>
    <xdr:to>
      <xdr:col>6</xdr:col>
      <xdr:colOff>409575</xdr:colOff>
      <xdr:row>0</xdr:row>
      <xdr:rowOff>257175</xdr:rowOff>
    </xdr:to>
    <xdr:sp>
      <xdr:nvSpPr>
        <xdr:cNvPr id="13" name="Text Box 13"/>
        <xdr:cNvSpPr txBox="1">
          <a:spLocks noChangeArrowheads="1"/>
        </xdr:cNvSpPr>
      </xdr:nvSpPr>
      <xdr:spPr>
        <a:xfrm>
          <a:off x="1219200" y="28575"/>
          <a:ext cx="3228975" cy="228600"/>
        </a:xfrm>
        <a:prstGeom prst="rect">
          <a:avLst/>
        </a:prstGeom>
        <a:solidFill>
          <a:srgbClr val="CCFFCC"/>
        </a:solidFill>
        <a:ln w="9525"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Making an Epidemic Curve for a Disease Outbreak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tforsk.no/ola/fisher.htm" TargetMode="Externa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C16"/>
  <sheetViews>
    <sheetView tabSelected="1" workbookViewId="0" topLeftCell="A1">
      <selection activeCell="A1" sqref="A1"/>
    </sheetView>
  </sheetViews>
  <sheetFormatPr defaultColWidth="8.8515625" defaultRowHeight="12.75"/>
  <cols>
    <col min="1" max="1" width="45.421875" style="0" customWidth="1"/>
    <col min="2" max="2" width="49.140625" style="0" customWidth="1"/>
    <col min="3" max="3" width="44.7109375" style="0" customWidth="1"/>
  </cols>
  <sheetData>
    <row r="1" ht="47.25" customHeight="1">
      <c r="B1" s="239" t="s">
        <v>269</v>
      </c>
    </row>
    <row r="2" ht="39.75" customHeight="1">
      <c r="B2" s="238" t="s">
        <v>270</v>
      </c>
    </row>
    <row r="3" spans="1:3" ht="26.25" customHeight="1">
      <c r="A3" s="268" t="s">
        <v>205</v>
      </c>
      <c r="B3" s="269"/>
      <c r="C3" s="270"/>
    </row>
    <row r="4" spans="1:3" s="166" customFormat="1" ht="15">
      <c r="A4" s="166" t="s">
        <v>191</v>
      </c>
      <c r="B4" s="166" t="s">
        <v>190</v>
      </c>
      <c r="C4" s="166" t="s">
        <v>196</v>
      </c>
    </row>
    <row r="5" spans="1:3" ht="12">
      <c r="A5" s="164" t="s">
        <v>188</v>
      </c>
      <c r="B5" s="165" t="s">
        <v>192</v>
      </c>
      <c r="C5" s="164" t="s">
        <v>198</v>
      </c>
    </row>
    <row r="6" spans="1:3" ht="12">
      <c r="A6" s="164" t="s">
        <v>189</v>
      </c>
      <c r="B6" s="165" t="s">
        <v>195</v>
      </c>
      <c r="C6" s="165" t="s">
        <v>199</v>
      </c>
    </row>
    <row r="7" ht="12">
      <c r="B7" s="165" t="s">
        <v>197</v>
      </c>
    </row>
    <row r="8" spans="1:2" ht="12">
      <c r="A8" s="165" t="s">
        <v>194</v>
      </c>
      <c r="B8" s="164" t="s">
        <v>204</v>
      </c>
    </row>
    <row r="9" spans="2:3" ht="12">
      <c r="B9" s="164" t="s">
        <v>201</v>
      </c>
      <c r="C9" s="164" t="s">
        <v>200</v>
      </c>
    </row>
    <row r="10" spans="1:2" ht="12">
      <c r="A10" s="271" t="s">
        <v>267</v>
      </c>
      <c r="B10" s="164" t="s">
        <v>202</v>
      </c>
    </row>
    <row r="11" spans="1:3" ht="12">
      <c r="A11" s="272"/>
      <c r="C11" s="164" t="s">
        <v>203</v>
      </c>
    </row>
    <row r="12" spans="1:3" ht="12">
      <c r="A12" s="272"/>
      <c r="C12" s="164" t="s">
        <v>22</v>
      </c>
    </row>
    <row r="13" ht="12">
      <c r="B13" s="164" t="s">
        <v>229</v>
      </c>
    </row>
    <row r="14" ht="12">
      <c r="B14" s="164" t="s">
        <v>252</v>
      </c>
    </row>
    <row r="15" ht="12">
      <c r="C15" s="164" t="s">
        <v>279</v>
      </c>
    </row>
    <row r="16" ht="12">
      <c r="B16" s="164" t="s">
        <v>288</v>
      </c>
    </row>
  </sheetData>
  <sheetProtection password="C774" sheet="1" objects="1" scenarios="1"/>
  <mergeCells count="2">
    <mergeCell ref="A3:C3"/>
    <mergeCell ref="A10:A12"/>
  </mergeCells>
  <hyperlinks>
    <hyperlink ref="B5" location="ANOVA!A1" display="ANOVA"/>
    <hyperlink ref="A5" location="'Standard Deviation'!A1" display="Normal Distribution &amp; 'Standard Deviation"/>
    <hyperlink ref="A6" location="'Skewed Distribution '!A1" display="Skewed Distribution"/>
    <hyperlink ref="A8" location="'Epidemic curve'!A1" display="Epidemic curve"/>
    <hyperlink ref="B6" location="'Chi Squared Test'!A1" display="'Chi Squared Test'!A1"/>
    <hyperlink ref="B7" location="'CI - Proportion'!A1" display="'CI - Proportion'!A1"/>
    <hyperlink ref="C5" location="'Case-Control'!A1" display="Case-Control"/>
    <hyperlink ref="C6" location="'Cohort Studies'!A1" display="'Cohort Studies'!A1"/>
    <hyperlink ref="C9" location="Screening!A1" display="Screening Test Performance - Sensitivity/Specificity "/>
    <hyperlink ref="B9" location="'T-test (Unpaired)'!A1" display="T-test (Unpaired)"/>
    <hyperlink ref="B10" location="'T-test (Paired)'!A1" display="T-test (Paired)"/>
    <hyperlink ref="C11" location="'Sample Size'!A1" display="Sample Size Calculations"/>
    <hyperlink ref="B8" location="'Correlation &amp; Linear Regression'!A1" display="Correlation &amp; Linear Regression"/>
    <hyperlink ref="C12" location="'Survival Curve'!A1" display="Survival Curves"/>
    <hyperlink ref="B13" location="'Direct Standardization'!A1" tooltip="Age-Adjusted Rates" display="Standardized Rates (Proportions) - Direct Standardization"/>
    <hyperlink ref="B14" location="'Standardized Incidence Ratio'!A1" display="Standardized Incidence Ratio"/>
    <hyperlink ref="A10:A12" location="'Descriptive Data'!A1" display="Descriptive Statistics (mean, median,mode, 95% confidence interval for a mean, standard deviation, standard error, range"/>
    <hyperlink ref="C15" location="'Random # Generator'!A1" display="Random Assignment to Groups"/>
    <hyperlink ref="B16" r:id="rId1" display="Fisher's Exact Test (You need to be online to use this.)"/>
  </hyperlink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23"/>
  <sheetViews>
    <sheetView workbookViewId="0" topLeftCell="A1">
      <selection activeCell="F4" sqref="F4"/>
    </sheetView>
  </sheetViews>
  <sheetFormatPr defaultColWidth="8.8515625" defaultRowHeight="12.75"/>
  <cols>
    <col min="1" max="1" width="7.140625" style="0" customWidth="1"/>
    <col min="2" max="2" width="13.7109375" style="0" customWidth="1"/>
    <col min="3" max="6" width="8.8515625" style="0" customWidth="1"/>
    <col min="7" max="7" width="12.421875" style="0" customWidth="1"/>
    <col min="8" max="8" width="10.00390625" style="0" customWidth="1"/>
    <col min="9" max="10" width="8.8515625" style="0" customWidth="1"/>
    <col min="11" max="11" width="2.7109375" style="0" customWidth="1"/>
    <col min="12" max="12" width="11.28125" style="0" customWidth="1"/>
    <col min="13" max="13" width="10.140625" style="0" customWidth="1"/>
  </cols>
  <sheetData>
    <row r="1" spans="1:14" ht="33" customHeight="1">
      <c r="A1" s="299" t="s">
        <v>43</v>
      </c>
      <c r="B1" s="300"/>
      <c r="C1" s="300"/>
      <c r="D1" s="301"/>
      <c r="G1" s="164" t="s">
        <v>193</v>
      </c>
      <c r="K1" s="333"/>
      <c r="L1" s="287" t="s">
        <v>285</v>
      </c>
      <c r="M1" s="287"/>
      <c r="N1" s="287"/>
    </row>
    <row r="2" ht="12">
      <c r="K2" s="333"/>
    </row>
    <row r="3" spans="2:11" ht="15">
      <c r="B3" s="17" t="s">
        <v>20</v>
      </c>
      <c r="K3" s="333"/>
    </row>
    <row r="4" ht="12">
      <c r="K4" s="333"/>
    </row>
    <row r="5" spans="3:12" ht="15">
      <c r="C5" s="18" t="s">
        <v>5</v>
      </c>
      <c r="H5" s="3" t="s">
        <v>4</v>
      </c>
      <c r="K5" s="333"/>
      <c r="L5" s="1"/>
    </row>
    <row r="6" spans="3:11" ht="12">
      <c r="C6" s="23" t="s">
        <v>25</v>
      </c>
      <c r="D6" s="23" t="s">
        <v>26</v>
      </c>
      <c r="H6" s="23" t="s">
        <v>25</v>
      </c>
      <c r="I6" s="23" t="s">
        <v>26</v>
      </c>
      <c r="K6" s="333"/>
    </row>
    <row r="7" spans="2:11" ht="12">
      <c r="B7" s="23" t="s">
        <v>1</v>
      </c>
      <c r="C7" s="15">
        <v>2</v>
      </c>
      <c r="D7" s="15">
        <v>3</v>
      </c>
      <c r="E7">
        <f>C7+D7</f>
        <v>5</v>
      </c>
      <c r="G7" s="23" t="s">
        <v>1</v>
      </c>
      <c r="H7" s="25">
        <f>(C9/E9)*E7</f>
        <v>2.0588235294117645</v>
      </c>
      <c r="I7" s="25">
        <f>E7-H7</f>
        <v>2.9411764705882355</v>
      </c>
      <c r="J7">
        <f>H7+I7</f>
        <v>5</v>
      </c>
      <c r="K7" s="333"/>
    </row>
    <row r="8" spans="2:11" ht="12">
      <c r="B8" s="23" t="s">
        <v>6</v>
      </c>
      <c r="C8" s="15">
        <v>19</v>
      </c>
      <c r="D8" s="15">
        <v>27</v>
      </c>
      <c r="E8">
        <f>C8+D8</f>
        <v>46</v>
      </c>
      <c r="G8" s="23" t="s">
        <v>6</v>
      </c>
      <c r="H8" s="25">
        <f>(C9/E9)*E8</f>
        <v>18.941176470588236</v>
      </c>
      <c r="I8" s="25">
        <f>E8-H8</f>
        <v>27.058823529411764</v>
      </c>
      <c r="J8">
        <f>H8+I8</f>
        <v>46</v>
      </c>
      <c r="K8" s="333"/>
    </row>
    <row r="9" spans="3:11" ht="12">
      <c r="C9">
        <f>C7+C8</f>
        <v>21</v>
      </c>
      <c r="D9">
        <f>D7+D8</f>
        <v>30</v>
      </c>
      <c r="E9">
        <f>E7+E8</f>
        <v>51</v>
      </c>
      <c r="H9">
        <f>H7+H8</f>
        <v>21</v>
      </c>
      <c r="I9">
        <f>I7+I8</f>
        <v>30</v>
      </c>
      <c r="J9">
        <f>J7+J8</f>
        <v>51</v>
      </c>
      <c r="K9" s="333"/>
    </row>
    <row r="10" spans="1:11" ht="9" customHeight="1">
      <c r="A10" s="302"/>
      <c r="B10" s="302"/>
      <c r="C10" s="302"/>
      <c r="D10" s="302"/>
      <c r="E10" s="302"/>
      <c r="F10" s="302"/>
      <c r="G10" s="302"/>
      <c r="H10" s="302"/>
      <c r="I10" s="302"/>
      <c r="J10" s="302"/>
      <c r="K10" s="333"/>
    </row>
    <row r="11" ht="12.75" thickBot="1"/>
    <row r="12" spans="2:8" ht="16.5" thickBot="1" thickTop="1">
      <c r="B12" s="16" t="s">
        <v>27</v>
      </c>
      <c r="C12" s="22">
        <f>($C$7*$D$8)/($D$7*$C$8)</f>
        <v>0.9473684210526315</v>
      </c>
      <c r="F12" t="s">
        <v>143</v>
      </c>
      <c r="G12" s="109">
        <v>0.95</v>
      </c>
      <c r="H12" s="22"/>
    </row>
    <row r="13" spans="2:7" ht="15.75" thickTop="1">
      <c r="B13" s="16" t="s">
        <v>28</v>
      </c>
      <c r="C13" s="24">
        <f>POWER($C$7-$H$7,2)/$H$7+POWER($D$7-$I$7,2)/$I$7+POWER($C$8-$H$8,2)/$H$8+POWER($D$8-$I$8,2)/$I$8</f>
        <v>0.0031677018633540143</v>
      </c>
      <c r="E13" s="19" t="str">
        <f>IF(H7&lt;5,"Chi square inappropriate; an expected cell is &lt;5.",IF(I7&lt;5,"Chi square inappropriate; an expected cell is &lt;5.",IF(H8&lt;5,"Chi square inappropriate; an expected cell is &lt;5.",IF(I8&lt;5,"Chi square inappropriate; an expected cell is &lt;5.",""))))</f>
        <v>Chi square inappropriate; an expected cell is &lt;5.</v>
      </c>
      <c r="G13" s="16"/>
    </row>
    <row r="14" spans="2:7" ht="15">
      <c r="B14" s="16" t="s">
        <v>0</v>
      </c>
      <c r="C14" s="107">
        <f>CHITEST((C7:D8),(H7:I8))</f>
        <v>0.955116886693445</v>
      </c>
      <c r="G14" s="16"/>
    </row>
    <row r="15" spans="1:3" ht="15">
      <c r="A15" s="48" t="s">
        <v>152</v>
      </c>
      <c r="B15" s="49"/>
      <c r="C15" s="22"/>
    </row>
    <row r="16" spans="2:7" ht="15">
      <c r="B16" s="16" t="s">
        <v>149</v>
      </c>
      <c r="C16" s="68">
        <f>C12*EXP(-NORMSINV((1-G12)/2)*C22)</f>
        <v>6.227212434275733</v>
      </c>
      <c r="G16" s="16"/>
    </row>
    <row r="17" spans="2:7" ht="15">
      <c r="B17" s="16" t="s">
        <v>150</v>
      </c>
      <c r="C17" s="68">
        <f>C12*EXP(NORMSINV((1-G12)/2)*C22)</f>
        <v>0.14412659511464737</v>
      </c>
      <c r="G17" s="16"/>
    </row>
    <row r="21" ht="12">
      <c r="A21" s="1"/>
    </row>
    <row r="22" spans="2:3" ht="12">
      <c r="B22" s="106" t="s">
        <v>151</v>
      </c>
      <c r="C22">
        <f>SQRT(1/C7+1/D7+1/C8+1/D8)</f>
        <v>0.9607299044568867</v>
      </c>
    </row>
    <row r="23" ht="12">
      <c r="C23" s="21"/>
    </row>
  </sheetData>
  <sheetProtection/>
  <mergeCells count="4">
    <mergeCell ref="A1:D1"/>
    <mergeCell ref="K1:K10"/>
    <mergeCell ref="L1:N1"/>
    <mergeCell ref="A10:J10"/>
  </mergeCells>
  <hyperlinks>
    <hyperlink ref="G1" location="'Main Menu'!A1" display="Main Menu"/>
  </hyperlink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P26"/>
  <sheetViews>
    <sheetView workbookViewId="0" topLeftCell="A1">
      <selection activeCell="P1" sqref="P1"/>
    </sheetView>
  </sheetViews>
  <sheetFormatPr defaultColWidth="8.8515625" defaultRowHeight="12.75"/>
  <cols>
    <col min="1" max="1" width="11.140625" style="0" customWidth="1"/>
    <col min="2" max="2" width="13.140625" style="0" customWidth="1"/>
    <col min="3" max="3" width="11.28125" style="0" customWidth="1"/>
    <col min="4" max="4" width="5.8515625" style="0" customWidth="1"/>
    <col min="5" max="6" width="8.8515625" style="0" customWidth="1"/>
    <col min="7" max="7" width="1.421875" style="0" customWidth="1"/>
    <col min="8" max="8" width="5.8515625" style="0" customWidth="1"/>
    <col min="9" max="10" width="8.8515625" style="0" customWidth="1"/>
    <col min="11" max="11" width="1.421875" style="0" customWidth="1"/>
    <col min="12" max="12" width="5.8515625" style="0" customWidth="1"/>
    <col min="13" max="14" width="8.8515625" style="0" customWidth="1"/>
    <col min="15" max="15" width="1.28515625" style="0" customWidth="1"/>
    <col min="16" max="16" width="10.140625" style="0" customWidth="1"/>
  </cols>
  <sheetData>
    <row r="1" spans="1:16" ht="38.25" customHeight="1">
      <c r="A1" s="340" t="s">
        <v>283</v>
      </c>
      <c r="B1" s="340"/>
      <c r="C1" s="340"/>
      <c r="E1" s="21"/>
      <c r="F1" s="21"/>
      <c r="P1" s="167" t="s">
        <v>193</v>
      </c>
    </row>
    <row r="2" spans="2:15" ht="12">
      <c r="B2" s="42" t="s">
        <v>154</v>
      </c>
      <c r="D2" s="110"/>
      <c r="E2" s="334" t="s">
        <v>132</v>
      </c>
      <c r="F2" s="335"/>
      <c r="G2" s="95"/>
      <c r="I2" s="336" t="s">
        <v>133</v>
      </c>
      <c r="J2" s="337"/>
      <c r="K2" s="95"/>
      <c r="M2" s="338" t="s">
        <v>134</v>
      </c>
      <c r="N2" s="339"/>
      <c r="O2" s="95"/>
    </row>
    <row r="3" spans="1:15" ht="12">
      <c r="A3" s="42" t="s">
        <v>135</v>
      </c>
      <c r="B3" s="42" t="s">
        <v>136</v>
      </c>
      <c r="C3" s="42" t="s">
        <v>137</v>
      </c>
      <c r="D3" s="140" t="s">
        <v>138</v>
      </c>
      <c r="E3" s="97" t="s">
        <v>139</v>
      </c>
      <c r="F3" s="97" t="s">
        <v>140</v>
      </c>
      <c r="G3" s="98"/>
      <c r="H3" s="103" t="s">
        <v>138</v>
      </c>
      <c r="I3" s="97" t="s">
        <v>139</v>
      </c>
      <c r="J3" s="97" t="s">
        <v>140</v>
      </c>
      <c r="K3" s="98"/>
      <c r="L3" s="103" t="s">
        <v>138</v>
      </c>
      <c r="M3" s="97" t="s">
        <v>139</v>
      </c>
      <c r="N3" s="97" t="s">
        <v>140</v>
      </c>
      <c r="O3" s="95"/>
    </row>
    <row r="4" spans="1:15" ht="12">
      <c r="A4" s="69"/>
      <c r="B4" s="69"/>
      <c r="C4" s="42" t="s">
        <v>141</v>
      </c>
      <c r="D4" s="141"/>
      <c r="E4" s="97" t="s">
        <v>142</v>
      </c>
      <c r="F4" s="97" t="s">
        <v>142</v>
      </c>
      <c r="G4" s="95"/>
      <c r="H4" s="104"/>
      <c r="I4" s="97" t="s">
        <v>142</v>
      </c>
      <c r="J4" s="97" t="s">
        <v>142</v>
      </c>
      <c r="K4" s="95"/>
      <c r="L4" s="104"/>
      <c r="M4" s="97" t="s">
        <v>142</v>
      </c>
      <c r="N4" s="97" t="s">
        <v>142</v>
      </c>
      <c r="O4" s="95"/>
    </row>
    <row r="5" spans="1:15" ht="12">
      <c r="A5" s="99">
        <v>1</v>
      </c>
      <c r="B5" s="99">
        <v>79</v>
      </c>
      <c r="C5" s="100">
        <f>A5/B5</f>
        <v>0.012658227848101266</v>
      </c>
      <c r="D5" s="142">
        <f>1.645*SQRT(($C5*(1-$C5))/($B5))</f>
        <v>0.020690575315923825</v>
      </c>
      <c r="E5" s="101">
        <f>IF($C5-$D5&lt;0,0,($C5-$D5))</f>
        <v>0</v>
      </c>
      <c r="F5" s="101">
        <f>$C5+$D5</f>
        <v>0.03334880316402509</v>
      </c>
      <c r="G5" s="102"/>
      <c r="H5" s="105">
        <f>1.96*SQRT(($C5*(1-$C5))/($B5))</f>
        <v>0.024652600376419878</v>
      </c>
      <c r="I5" s="101">
        <f>IF($C5-$H5&lt;0,0,$C5-$H5)</f>
        <v>0</v>
      </c>
      <c r="J5" s="101">
        <f>$C5+$H5</f>
        <v>0.03731082822452114</v>
      </c>
      <c r="K5" s="102"/>
      <c r="L5" s="105">
        <f>2.575*SQRT(($C5*(1-$C5))/($B5))</f>
        <v>0.03238798263738836</v>
      </c>
      <c r="M5" s="101">
        <f>IF($C5-$L5&lt;0,0,$C5-$L5)</f>
        <v>0</v>
      </c>
      <c r="N5" s="101">
        <f>$C5+$L5</f>
        <v>0.045046210485489624</v>
      </c>
      <c r="O5" s="95"/>
    </row>
    <row r="6" ht="12">
      <c r="D6" s="110"/>
    </row>
    <row r="7" spans="1:14" ht="12">
      <c r="A7" s="99">
        <v>12</v>
      </c>
      <c r="B7" s="99">
        <v>100</v>
      </c>
      <c r="C7" s="100">
        <f>A7/B7</f>
        <v>0.12</v>
      </c>
      <c r="D7" s="142">
        <f>1.645*SQRT(($C7*(1-$C7))/($B7))</f>
        <v>0.05345617270250462</v>
      </c>
      <c r="E7" s="101">
        <f>IF($C7-$D7&lt;0,0,($C7-$D7))</f>
        <v>0.06654382729749538</v>
      </c>
      <c r="F7" s="101">
        <f>$C7+$D7</f>
        <v>0.17345617270250463</v>
      </c>
      <c r="G7" s="102"/>
      <c r="H7" s="105">
        <f>1.96*SQRT(($C7*(1-$C7))/($B7))</f>
        <v>0.06369246109234593</v>
      </c>
      <c r="I7" s="101">
        <f>IF($C7-$H7&lt;0,0,$C7-$H7)</f>
        <v>0.05630753890765407</v>
      </c>
      <c r="J7" s="101">
        <f>$C7+$H7</f>
        <v>0.18369246109234594</v>
      </c>
      <c r="K7" s="102"/>
      <c r="L7" s="105">
        <f>2.575*SQRT(($C7*(1-$C7))/($B7))</f>
        <v>0.0836775955677504</v>
      </c>
      <c r="M7" s="101">
        <f>IF($C7-$L7&lt;0,0,$C7-$L7)</f>
        <v>0.0363224044322496</v>
      </c>
      <c r="N7" s="101">
        <f>$C7+$L7</f>
        <v>0.2036775955677504</v>
      </c>
    </row>
    <row r="8" spans="1:14" ht="12">
      <c r="A8" s="99"/>
      <c r="B8" s="99"/>
      <c r="C8" s="100" t="e">
        <f>A8/B8</f>
        <v>#DIV/0!</v>
      </c>
      <c r="D8" s="142" t="e">
        <f>1.645*SQRT(($C8*(1-$C8))/($B8))</f>
        <v>#DIV/0!</v>
      </c>
      <c r="E8" s="101" t="e">
        <f>IF($C8-$D8&lt;0,0,($C8-$D8))</f>
        <v>#DIV/0!</v>
      </c>
      <c r="F8" s="101" t="e">
        <f>$C8+$D8</f>
        <v>#DIV/0!</v>
      </c>
      <c r="G8" s="102"/>
      <c r="H8" s="105" t="e">
        <f>1.96*SQRT(($C8*(1-$C8))/($B8))</f>
        <v>#DIV/0!</v>
      </c>
      <c r="I8" s="101" t="e">
        <f>IF($C8-$H8&lt;0,0,$C8-$H8)</f>
        <v>#DIV/0!</v>
      </c>
      <c r="J8" s="101" t="e">
        <f>$C8+$H8</f>
        <v>#DIV/0!</v>
      </c>
      <c r="K8" s="102"/>
      <c r="L8" s="105" t="e">
        <f>2.575*SQRT(($C8*(1-$C8))/($B8))</f>
        <v>#DIV/0!</v>
      </c>
      <c r="M8" s="101" t="e">
        <f>IF($C8-$L8&lt;0,0,$C8-$L8)</f>
        <v>#DIV/0!</v>
      </c>
      <c r="N8" s="101" t="e">
        <f>$C8+$L8</f>
        <v>#DIV/0!</v>
      </c>
    </row>
    <row r="9" spans="3:14" ht="12">
      <c r="C9" s="100"/>
      <c r="D9" s="111"/>
      <c r="E9" s="101"/>
      <c r="F9" s="101"/>
      <c r="G9" s="102"/>
      <c r="H9" s="105"/>
      <c r="I9" s="101"/>
      <c r="J9" s="101"/>
      <c r="K9" s="102"/>
      <c r="L9" s="105"/>
      <c r="M9" s="101"/>
      <c r="N9" s="101"/>
    </row>
    <row r="10" spans="3:14" ht="12">
      <c r="C10" s="100"/>
      <c r="D10" s="111"/>
      <c r="E10" s="101"/>
      <c r="F10" s="101"/>
      <c r="G10" s="102"/>
      <c r="H10" s="105"/>
      <c r="I10" s="101"/>
      <c r="J10" s="101"/>
      <c r="K10" s="102"/>
      <c r="L10" s="105"/>
      <c r="M10" s="101"/>
      <c r="N10" s="101"/>
    </row>
    <row r="11" spans="3:14" ht="12">
      <c r="C11" s="100"/>
      <c r="D11" s="111"/>
      <c r="E11" s="101"/>
      <c r="F11" s="101"/>
      <c r="G11" s="102"/>
      <c r="H11" s="105"/>
      <c r="I11" s="101"/>
      <c r="J11" s="101"/>
      <c r="K11" s="102"/>
      <c r="L11" s="105"/>
      <c r="M11" s="101"/>
      <c r="N11" s="101"/>
    </row>
    <row r="12" spans="3:14" ht="12">
      <c r="C12" s="100"/>
      <c r="D12" s="111"/>
      <c r="E12" s="101"/>
      <c r="F12" s="101"/>
      <c r="G12" s="102"/>
      <c r="H12" s="105"/>
      <c r="I12" s="101"/>
      <c r="J12" s="101"/>
      <c r="K12" s="102"/>
      <c r="L12" s="105"/>
      <c r="M12" s="101"/>
      <c r="N12" s="101"/>
    </row>
    <row r="13" spans="3:14" ht="12">
      <c r="C13" s="100"/>
      <c r="D13" s="111"/>
      <c r="E13" s="101"/>
      <c r="F13" s="101"/>
      <c r="G13" s="102"/>
      <c r="H13" s="105"/>
      <c r="I13" s="101"/>
      <c r="J13" s="101"/>
      <c r="K13" s="102"/>
      <c r="L13" s="105"/>
      <c r="M13" s="101"/>
      <c r="N13" s="101"/>
    </row>
    <row r="14" spans="3:14" ht="12">
      <c r="C14" s="100"/>
      <c r="D14" s="111"/>
      <c r="E14" s="101"/>
      <c r="F14" s="101"/>
      <c r="G14" s="102"/>
      <c r="H14" s="105"/>
      <c r="I14" s="101"/>
      <c r="J14" s="101"/>
      <c r="K14" s="102"/>
      <c r="L14" s="105"/>
      <c r="M14" s="101"/>
      <c r="N14" s="101"/>
    </row>
    <row r="15" spans="3:14" ht="12">
      <c r="C15" s="100"/>
      <c r="D15" s="111"/>
      <c r="E15" s="101"/>
      <c r="F15" s="101"/>
      <c r="G15" s="102"/>
      <c r="H15" s="105"/>
      <c r="I15" s="101"/>
      <c r="J15" s="101"/>
      <c r="K15" s="102"/>
      <c r="L15" s="105"/>
      <c r="M15" s="101"/>
      <c r="N15" s="101"/>
    </row>
    <row r="16" spans="3:14" ht="12">
      <c r="C16" s="100"/>
      <c r="D16" s="111"/>
      <c r="E16" s="101"/>
      <c r="F16" s="101"/>
      <c r="G16" s="102"/>
      <c r="H16" s="105"/>
      <c r="I16" s="101"/>
      <c r="J16" s="101"/>
      <c r="K16" s="102"/>
      <c r="L16" s="105"/>
      <c r="M16" s="101"/>
      <c r="N16" s="101"/>
    </row>
    <row r="17" spans="3:14" ht="12">
      <c r="C17" s="100"/>
      <c r="D17" s="111"/>
      <c r="E17" s="101"/>
      <c r="F17" s="101"/>
      <c r="G17" s="102"/>
      <c r="H17" s="105"/>
      <c r="I17" s="101"/>
      <c r="J17" s="101"/>
      <c r="K17" s="102"/>
      <c r="L17" s="105"/>
      <c r="M17" s="101"/>
      <c r="N17" s="101"/>
    </row>
    <row r="18" spans="3:14" ht="12">
      <c r="C18" s="100"/>
      <c r="D18" s="111"/>
      <c r="E18" s="101"/>
      <c r="F18" s="101"/>
      <c r="G18" s="102"/>
      <c r="H18" s="105"/>
      <c r="I18" s="101"/>
      <c r="J18" s="101"/>
      <c r="K18" s="102"/>
      <c r="L18" s="105"/>
      <c r="M18" s="101"/>
      <c r="N18" s="101"/>
    </row>
    <row r="19" spans="3:14" ht="12">
      <c r="C19" s="100"/>
      <c r="D19" s="111"/>
      <c r="E19" s="101"/>
      <c r="F19" s="101"/>
      <c r="G19" s="102"/>
      <c r="H19" s="105"/>
      <c r="I19" s="101"/>
      <c r="J19" s="101"/>
      <c r="K19" s="102"/>
      <c r="L19" s="105"/>
      <c r="M19" s="101"/>
      <c r="N19" s="101"/>
    </row>
    <row r="20" spans="3:14" ht="12">
      <c r="C20" s="100"/>
      <c r="D20" s="111"/>
      <c r="E20" s="101"/>
      <c r="F20" s="101"/>
      <c r="G20" s="102"/>
      <c r="H20" s="105"/>
      <c r="I20" s="101"/>
      <c r="J20" s="101"/>
      <c r="K20" s="102"/>
      <c r="L20" s="105"/>
      <c r="M20" s="101"/>
      <c r="N20" s="101"/>
    </row>
    <row r="21" spans="3:14" ht="12">
      <c r="C21" s="100"/>
      <c r="D21" s="111"/>
      <c r="E21" s="101"/>
      <c r="F21" s="101"/>
      <c r="G21" s="102"/>
      <c r="H21" s="105"/>
      <c r="I21" s="101"/>
      <c r="J21" s="101"/>
      <c r="K21" s="102"/>
      <c r="L21" s="105"/>
      <c r="M21" s="101"/>
      <c r="N21" s="101"/>
    </row>
    <row r="22" spans="3:14" ht="12">
      <c r="C22" s="100"/>
      <c r="D22" s="111"/>
      <c r="E22" s="101"/>
      <c r="F22" s="101"/>
      <c r="G22" s="102"/>
      <c r="H22" s="105"/>
      <c r="I22" s="101"/>
      <c r="J22" s="101"/>
      <c r="K22" s="102"/>
      <c r="L22" s="105"/>
      <c r="M22" s="101"/>
      <c r="N22" s="101"/>
    </row>
    <row r="23" spans="3:14" ht="12">
      <c r="C23" s="100"/>
      <c r="D23" s="111"/>
      <c r="E23" s="101"/>
      <c r="F23" s="101"/>
      <c r="G23" s="102"/>
      <c r="H23" s="105"/>
      <c r="I23" s="101"/>
      <c r="J23" s="101"/>
      <c r="K23" s="102"/>
      <c r="L23" s="105"/>
      <c r="M23" s="101"/>
      <c r="N23" s="101"/>
    </row>
    <row r="24" spans="3:14" ht="12">
      <c r="C24" s="100"/>
      <c r="D24" s="111"/>
      <c r="E24" s="101"/>
      <c r="F24" s="101"/>
      <c r="G24" s="102"/>
      <c r="H24" s="105"/>
      <c r="I24" s="101"/>
      <c r="J24" s="101"/>
      <c r="K24" s="102"/>
      <c r="L24" s="105"/>
      <c r="M24" s="101"/>
      <c r="N24" s="101"/>
    </row>
    <row r="25" spans="3:14" ht="12">
      <c r="C25" s="100"/>
      <c r="D25" s="111"/>
      <c r="E25" s="101"/>
      <c r="F25" s="101"/>
      <c r="G25" s="102"/>
      <c r="H25" s="105"/>
      <c r="I25" s="101"/>
      <c r="J25" s="101"/>
      <c r="K25" s="102"/>
      <c r="L25" s="105"/>
      <c r="M25" s="101"/>
      <c r="N25" s="101"/>
    </row>
    <row r="26" spans="3:14" ht="12">
      <c r="C26" s="100"/>
      <c r="D26" s="111"/>
      <c r="E26" s="101"/>
      <c r="F26" s="101"/>
      <c r="G26" s="102"/>
      <c r="H26" s="105"/>
      <c r="I26" s="101"/>
      <c r="J26" s="101"/>
      <c r="K26" s="102"/>
      <c r="L26" s="105"/>
      <c r="M26" s="101"/>
      <c r="N26" s="101"/>
    </row>
  </sheetData>
  <sheetProtection password="C774" sheet="1" objects="1" scenarios="1"/>
  <mergeCells count="4">
    <mergeCell ref="E2:F2"/>
    <mergeCell ref="I2:J2"/>
    <mergeCell ref="M2:N2"/>
    <mergeCell ref="A1:C1"/>
  </mergeCells>
  <hyperlinks>
    <hyperlink ref="P1" location="'Main Menu'!A1" display="Main Menu"/>
  </hyperlinks>
  <printOptions/>
  <pageMargins left="0.75" right="0.75" top="1" bottom="1" header="0.5" footer="0.5"/>
  <pageSetup horizontalDpi="300" verticalDpi="300" orientation="portrait"/>
  <drawing r:id="rId1"/>
</worksheet>
</file>

<file path=xl/worksheets/sheet12.xml><?xml version="1.0" encoding="utf-8"?>
<worksheet xmlns="http://schemas.openxmlformats.org/spreadsheetml/2006/main" xmlns:r="http://schemas.openxmlformats.org/officeDocument/2006/relationships">
  <dimension ref="A1:O31"/>
  <sheetViews>
    <sheetView workbookViewId="0" topLeftCell="A1">
      <selection activeCell="I6" sqref="I6"/>
    </sheetView>
  </sheetViews>
  <sheetFormatPr defaultColWidth="8.8515625" defaultRowHeight="12.75"/>
  <cols>
    <col min="1" max="6" width="8.8515625" style="0" customWidth="1"/>
    <col min="7" max="7" width="10.140625" style="0" customWidth="1"/>
  </cols>
  <sheetData>
    <row r="1" ht="24.75" customHeight="1">
      <c r="J1" s="167" t="s">
        <v>193</v>
      </c>
    </row>
    <row r="2" spans="1:5" ht="12">
      <c r="A2" t="s">
        <v>21</v>
      </c>
      <c r="B2" s="42" t="s">
        <v>92</v>
      </c>
      <c r="C2" s="42" t="s">
        <v>91</v>
      </c>
      <c r="D2" s="42"/>
      <c r="E2" s="73"/>
    </row>
    <row r="3" spans="2:10" ht="12">
      <c r="B3" s="42" t="s">
        <v>71</v>
      </c>
      <c r="C3" s="42" t="s">
        <v>70</v>
      </c>
      <c r="D3" s="42"/>
      <c r="E3" s="341" t="s">
        <v>131</v>
      </c>
      <c r="F3" s="342"/>
      <c r="G3" s="342"/>
      <c r="H3" s="342"/>
      <c r="I3" s="342"/>
      <c r="J3" s="342"/>
    </row>
    <row r="4" spans="2:15" ht="15">
      <c r="B4" s="135">
        <v>1</v>
      </c>
      <c r="C4" s="135">
        <v>200</v>
      </c>
      <c r="E4">
        <f>$H$5+$H$4*B4</f>
        <v>50.88679245283015</v>
      </c>
      <c r="G4" s="3" t="s">
        <v>56</v>
      </c>
      <c r="H4" s="43">
        <f>SLOPE(C4:C11,B4:B11)</f>
        <v>515.3207547169811</v>
      </c>
      <c r="J4" s="343" t="s">
        <v>102</v>
      </c>
      <c r="K4" s="343"/>
      <c r="L4" s="343"/>
      <c r="M4" s="343"/>
      <c r="N4" s="343"/>
      <c r="O4" s="343"/>
    </row>
    <row r="5" spans="2:15" ht="12.75" customHeight="1">
      <c r="B5" s="135">
        <v>2</v>
      </c>
      <c r="C5" s="135">
        <v>850</v>
      </c>
      <c r="E5">
        <f aca="true" t="shared" si="0" ref="E5:E11">$H$5+$H$4*B5</f>
        <v>566.2075471698113</v>
      </c>
      <c r="G5" s="3" t="s">
        <v>57</v>
      </c>
      <c r="H5" s="43">
        <f>INTERCEPT(C4:C11,B4:B11)</f>
        <v>-464.433962264151</v>
      </c>
      <c r="J5" s="343"/>
      <c r="K5" s="343"/>
      <c r="L5" s="343"/>
      <c r="M5" s="343"/>
      <c r="N5" s="343"/>
      <c r="O5" s="343"/>
    </row>
    <row r="6" spans="2:15" ht="15">
      <c r="B6" s="135">
        <v>3</v>
      </c>
      <c r="C6" s="135">
        <v>1300</v>
      </c>
      <c r="E6">
        <f t="shared" si="0"/>
        <v>1081.5283018867924</v>
      </c>
      <c r="G6" s="3"/>
      <c r="H6" s="43"/>
      <c r="J6" s="343"/>
      <c r="K6" s="343"/>
      <c r="L6" s="343"/>
      <c r="M6" s="343"/>
      <c r="N6" s="343"/>
      <c r="O6" s="343"/>
    </row>
    <row r="7" spans="2:15" ht="15">
      <c r="B7" s="135">
        <v>4</v>
      </c>
      <c r="C7" s="135">
        <v>1500</v>
      </c>
      <c r="E7">
        <f t="shared" si="0"/>
        <v>1596.8490566037735</v>
      </c>
      <c r="G7" s="3" t="s">
        <v>68</v>
      </c>
      <c r="H7" s="261">
        <f>CORREL(B4:B11,C4:C11)</f>
        <v>0.9421088326397447</v>
      </c>
      <c r="J7" s="343"/>
      <c r="K7" s="343"/>
      <c r="L7" s="343"/>
      <c r="M7" s="343"/>
      <c r="N7" s="343"/>
      <c r="O7" s="343"/>
    </row>
    <row r="8" spans="2:15" ht="15">
      <c r="B8" s="135">
        <v>5</v>
      </c>
      <c r="C8" s="135">
        <v>1578</v>
      </c>
      <c r="E8">
        <f t="shared" si="0"/>
        <v>2112.169811320755</v>
      </c>
      <c r="G8" s="3" t="s">
        <v>69</v>
      </c>
      <c r="H8" s="43">
        <f>POWER(H7,2)</f>
        <v>0.8875690525378224</v>
      </c>
      <c r="J8" s="343"/>
      <c r="K8" s="343"/>
      <c r="L8" s="343"/>
      <c r="M8" s="343"/>
      <c r="N8" s="343"/>
      <c r="O8" s="343"/>
    </row>
    <row r="9" spans="2:15" ht="15">
      <c r="B9" s="135">
        <v>8</v>
      </c>
      <c r="C9" s="135">
        <v>3000</v>
      </c>
      <c r="E9">
        <f t="shared" si="0"/>
        <v>3658.132075471698</v>
      </c>
      <c r="G9" s="3" t="s">
        <v>325</v>
      </c>
      <c r="H9" s="262">
        <f>COUNT(B4:B11)</f>
        <v>8</v>
      </c>
      <c r="J9" s="343"/>
      <c r="K9" s="343"/>
      <c r="L9" s="343"/>
      <c r="M9" s="343"/>
      <c r="N9" s="343"/>
      <c r="O9" s="343"/>
    </row>
    <row r="10" spans="2:15" ht="15">
      <c r="B10" s="135">
        <v>9</v>
      </c>
      <c r="C10" s="135">
        <v>3600</v>
      </c>
      <c r="E10">
        <f t="shared" si="0"/>
        <v>4173.452830188679</v>
      </c>
      <c r="G10" s="3" t="s">
        <v>324</v>
      </c>
      <c r="H10" s="44">
        <f>H7/(SQRT((1-H8)/(H9-2)))</f>
        <v>6.882302627535616</v>
      </c>
      <c r="J10" s="343"/>
      <c r="K10" s="343"/>
      <c r="L10" s="343"/>
      <c r="M10" s="343"/>
      <c r="N10" s="343"/>
      <c r="O10" s="343"/>
    </row>
    <row r="11" spans="2:15" ht="15">
      <c r="B11" s="135">
        <v>10</v>
      </c>
      <c r="C11" s="135">
        <v>5900</v>
      </c>
      <c r="E11">
        <f t="shared" si="0"/>
        <v>4688.773584905661</v>
      </c>
      <c r="G11" s="3" t="s">
        <v>0</v>
      </c>
      <c r="H11" s="44">
        <f>TDIST(H10,H9-1,2)</f>
        <v>0.0002350407605084192</v>
      </c>
      <c r="J11" s="343"/>
      <c r="K11" s="343"/>
      <c r="L11" s="343"/>
      <c r="M11" s="343"/>
      <c r="N11" s="343"/>
      <c r="O11" s="343"/>
    </row>
    <row r="12" spans="10:15" ht="12">
      <c r="J12" s="343"/>
      <c r="K12" s="343"/>
      <c r="L12" s="343"/>
      <c r="M12" s="343"/>
      <c r="N12" s="343"/>
      <c r="O12" s="343"/>
    </row>
    <row r="13" spans="10:15" ht="12">
      <c r="J13" s="343"/>
      <c r="K13" s="343"/>
      <c r="L13" s="343"/>
      <c r="M13" s="343"/>
      <c r="N13" s="343"/>
      <c r="O13" s="343"/>
    </row>
    <row r="14" spans="10:15" ht="12">
      <c r="J14" s="343"/>
      <c r="K14" s="343"/>
      <c r="L14" s="343"/>
      <c r="M14" s="343"/>
      <c r="N14" s="343"/>
      <c r="O14" s="343"/>
    </row>
    <row r="15" spans="10:15" ht="12">
      <c r="J15" s="343"/>
      <c r="K15" s="343"/>
      <c r="L15" s="343"/>
      <c r="M15" s="343"/>
      <c r="N15" s="343"/>
      <c r="O15" s="343"/>
    </row>
    <row r="16" spans="10:15" ht="12">
      <c r="J16" s="343"/>
      <c r="K16" s="343"/>
      <c r="L16" s="343"/>
      <c r="M16" s="343"/>
      <c r="N16" s="343"/>
      <c r="O16" s="343"/>
    </row>
    <row r="17" spans="10:15" ht="12">
      <c r="J17" s="343"/>
      <c r="K17" s="343"/>
      <c r="L17" s="343"/>
      <c r="M17" s="343"/>
      <c r="N17" s="343"/>
      <c r="O17" s="343"/>
    </row>
    <row r="18" spans="10:15" ht="12">
      <c r="J18" s="343"/>
      <c r="K18" s="343"/>
      <c r="L18" s="343"/>
      <c r="M18" s="343"/>
      <c r="N18" s="343"/>
      <c r="O18" s="343"/>
    </row>
    <row r="19" spans="10:15" ht="12">
      <c r="J19" s="343"/>
      <c r="K19" s="343"/>
      <c r="L19" s="343"/>
      <c r="M19" s="343"/>
      <c r="N19" s="343"/>
      <c r="O19" s="343"/>
    </row>
    <row r="20" spans="10:15" ht="12">
      <c r="J20" s="343"/>
      <c r="K20" s="343"/>
      <c r="L20" s="343"/>
      <c r="M20" s="343"/>
      <c r="N20" s="343"/>
      <c r="O20" s="343"/>
    </row>
    <row r="21" spans="10:15" ht="12">
      <c r="J21" s="343"/>
      <c r="K21" s="343"/>
      <c r="L21" s="343"/>
      <c r="M21" s="343"/>
      <c r="N21" s="343"/>
      <c r="O21" s="343"/>
    </row>
    <row r="22" spans="10:15" ht="12">
      <c r="J22" s="50"/>
      <c r="K22" s="50"/>
      <c r="L22" s="50"/>
      <c r="M22" s="50"/>
      <c r="N22" s="50"/>
      <c r="O22" s="50"/>
    </row>
    <row r="23" spans="10:15" ht="12">
      <c r="J23" s="343"/>
      <c r="K23" s="343"/>
      <c r="L23" s="343"/>
      <c r="M23" s="343"/>
      <c r="N23" s="343"/>
      <c r="O23" s="343"/>
    </row>
    <row r="24" spans="10:15" ht="12">
      <c r="J24" s="343"/>
      <c r="K24" s="343"/>
      <c r="L24" s="343"/>
      <c r="M24" s="343"/>
      <c r="N24" s="343"/>
      <c r="O24" s="343"/>
    </row>
    <row r="25" spans="10:15" ht="12">
      <c r="J25" s="343"/>
      <c r="K25" s="343"/>
      <c r="L25" s="343"/>
      <c r="M25" s="343"/>
      <c r="N25" s="343"/>
      <c r="O25" s="343"/>
    </row>
    <row r="26" spans="10:15" ht="12">
      <c r="J26" s="343"/>
      <c r="K26" s="343"/>
      <c r="L26" s="343"/>
      <c r="M26" s="343"/>
      <c r="N26" s="343"/>
      <c r="O26" s="343"/>
    </row>
    <row r="27" spans="10:15" ht="12">
      <c r="J27" s="343"/>
      <c r="K27" s="343"/>
      <c r="L27" s="343"/>
      <c r="M27" s="343"/>
      <c r="N27" s="343"/>
      <c r="O27" s="343"/>
    </row>
    <row r="28" spans="10:15" ht="12">
      <c r="J28" s="343"/>
      <c r="K28" s="343"/>
      <c r="L28" s="343"/>
      <c r="M28" s="343"/>
      <c r="N28" s="343"/>
      <c r="O28" s="343"/>
    </row>
    <row r="29" spans="10:15" ht="12">
      <c r="J29" s="343"/>
      <c r="K29" s="343"/>
      <c r="L29" s="343"/>
      <c r="M29" s="343"/>
      <c r="N29" s="343"/>
      <c r="O29" s="343"/>
    </row>
    <row r="31" ht="12">
      <c r="A31" s="51"/>
    </row>
  </sheetData>
  <sheetProtection password="C774" sheet="1" objects="1" scenarios="1"/>
  <mergeCells count="3">
    <mergeCell ref="E3:J3"/>
    <mergeCell ref="J4:O21"/>
    <mergeCell ref="J23:O29"/>
  </mergeCells>
  <hyperlinks>
    <hyperlink ref="J1" location="'Main Menu'!A1" display="Main Menu"/>
  </hyperlinks>
  <printOptions/>
  <pageMargins left="0.75" right="0.75" top="1" bottom="1" header="0.5" footer="0.5"/>
  <pageSetup horizontalDpi="300" verticalDpi="300" orientation="portrait"/>
  <drawing r:id="rId1"/>
</worksheet>
</file>

<file path=xl/worksheets/sheet13.xml><?xml version="1.0" encoding="utf-8"?>
<worksheet xmlns="http://schemas.openxmlformats.org/spreadsheetml/2006/main" xmlns:r="http://schemas.openxmlformats.org/officeDocument/2006/relationships">
  <dimension ref="B1:M51"/>
  <sheetViews>
    <sheetView workbookViewId="0" topLeftCell="A1">
      <selection activeCell="M1" sqref="M1"/>
    </sheetView>
  </sheetViews>
  <sheetFormatPr defaultColWidth="8.8515625" defaultRowHeight="12.75"/>
  <cols>
    <col min="1" max="1" width="16.28125" style="0" customWidth="1"/>
    <col min="2" max="12" width="8.8515625" style="0" customWidth="1"/>
    <col min="13" max="13" width="10.28125" style="0" customWidth="1"/>
  </cols>
  <sheetData>
    <row r="1" ht="23.25" customHeight="1">
      <c r="M1" s="167" t="s">
        <v>193</v>
      </c>
    </row>
    <row r="2" spans="2:8" ht="12">
      <c r="B2" s="143" t="s">
        <v>165</v>
      </c>
      <c r="D2" s="144" t="s">
        <v>166</v>
      </c>
      <c r="E2" s="23" t="s">
        <v>167</v>
      </c>
      <c r="G2" s="144" t="s">
        <v>166</v>
      </c>
      <c r="H2" s="23" t="s">
        <v>167</v>
      </c>
    </row>
    <row r="3" spans="2:8" ht="12">
      <c r="B3" s="145">
        <v>38231</v>
      </c>
      <c r="D3" s="147">
        <v>38456</v>
      </c>
      <c r="E3" s="148">
        <v>1</v>
      </c>
      <c r="G3" s="146">
        <v>38231</v>
      </c>
      <c r="H3">
        <v>1</v>
      </c>
    </row>
    <row r="4" spans="2:8" ht="12">
      <c r="B4" s="145">
        <v>38315</v>
      </c>
      <c r="D4" s="149">
        <v>38470</v>
      </c>
      <c r="E4" s="150">
        <v>1</v>
      </c>
      <c r="G4" s="146">
        <v>38315</v>
      </c>
      <c r="H4">
        <v>1</v>
      </c>
    </row>
    <row r="5" spans="2:8" ht="12">
      <c r="B5" s="145">
        <v>38336</v>
      </c>
      <c r="D5" s="151">
        <v>38471</v>
      </c>
      <c r="E5" s="150">
        <v>2</v>
      </c>
      <c r="G5" s="146">
        <v>38336</v>
      </c>
      <c r="H5">
        <v>1</v>
      </c>
    </row>
    <row r="6" spans="2:8" ht="12">
      <c r="B6" s="145">
        <v>38385</v>
      </c>
      <c r="D6" s="151">
        <v>38502</v>
      </c>
      <c r="E6" s="46">
        <v>2</v>
      </c>
      <c r="G6" s="152">
        <v>38385</v>
      </c>
      <c r="H6" s="135">
        <v>1</v>
      </c>
    </row>
    <row r="7" spans="2:8" ht="12">
      <c r="B7" s="145">
        <v>38393</v>
      </c>
      <c r="D7" s="151">
        <v>38473</v>
      </c>
      <c r="E7" s="46">
        <v>1</v>
      </c>
      <c r="G7" s="152">
        <v>38393</v>
      </c>
      <c r="H7" s="135">
        <v>1</v>
      </c>
    </row>
    <row r="8" spans="2:8" ht="12">
      <c r="B8" s="145">
        <v>38426</v>
      </c>
      <c r="D8" s="151">
        <v>38474</v>
      </c>
      <c r="E8" s="46">
        <v>2</v>
      </c>
      <c r="G8" s="152">
        <v>38426</v>
      </c>
      <c r="H8" s="135">
        <v>1</v>
      </c>
    </row>
    <row r="9" spans="2:8" ht="12">
      <c r="B9" s="153">
        <v>38456</v>
      </c>
      <c r="D9" s="151">
        <f>D8+1</f>
        <v>38475</v>
      </c>
      <c r="E9" s="46">
        <v>0</v>
      </c>
      <c r="G9" s="154">
        <v>38456</v>
      </c>
      <c r="H9" s="135">
        <v>1</v>
      </c>
    </row>
    <row r="10" spans="2:8" ht="12">
      <c r="B10" s="155">
        <v>38470</v>
      </c>
      <c r="D10" s="151">
        <f aca="true" t="shared" si="0" ref="D10:D51">D9+1</f>
        <v>38476</v>
      </c>
      <c r="E10" s="150">
        <v>4</v>
      </c>
      <c r="G10" s="156">
        <v>38470</v>
      </c>
      <c r="H10" s="168">
        <f>SUM(E4:E7)</f>
        <v>6</v>
      </c>
    </row>
    <row r="11" spans="2:8" ht="12">
      <c r="B11" s="155">
        <v>38471</v>
      </c>
      <c r="D11" s="151">
        <f t="shared" si="0"/>
        <v>38477</v>
      </c>
      <c r="E11" s="46">
        <v>3</v>
      </c>
      <c r="G11" s="157">
        <f>G10+4</f>
        <v>38474</v>
      </c>
      <c r="H11" s="168">
        <f>SUM(E8:E11)</f>
        <v>9</v>
      </c>
    </row>
    <row r="12" spans="2:8" ht="12">
      <c r="B12" s="155">
        <v>38471</v>
      </c>
      <c r="D12" s="151">
        <f t="shared" si="0"/>
        <v>38478</v>
      </c>
      <c r="E12" s="46">
        <v>3</v>
      </c>
      <c r="G12" s="157">
        <f>G11+4</f>
        <v>38478</v>
      </c>
      <c r="H12" s="168">
        <f>SUM(E12:E15)</f>
        <v>14</v>
      </c>
    </row>
    <row r="13" spans="2:8" ht="12">
      <c r="B13" s="145">
        <v>38472</v>
      </c>
      <c r="D13" s="151">
        <f t="shared" si="0"/>
        <v>38479</v>
      </c>
      <c r="E13" s="46">
        <v>5</v>
      </c>
      <c r="G13" s="157">
        <f>G12+4</f>
        <v>38482</v>
      </c>
      <c r="H13" s="168">
        <f>SUM(E16:E19)</f>
        <v>11</v>
      </c>
    </row>
    <row r="14" spans="2:8" ht="12">
      <c r="B14" s="155">
        <v>38472</v>
      </c>
      <c r="D14" s="151">
        <f t="shared" si="0"/>
        <v>38480</v>
      </c>
      <c r="E14" s="46">
        <v>3</v>
      </c>
      <c r="G14" s="157">
        <f>G13+4</f>
        <v>38486</v>
      </c>
      <c r="H14" s="168">
        <f>SUM(E20:E23)</f>
        <v>7</v>
      </c>
    </row>
    <row r="15" spans="2:8" ht="12">
      <c r="B15" s="155">
        <v>38473</v>
      </c>
      <c r="D15" s="151">
        <f t="shared" si="0"/>
        <v>38481</v>
      </c>
      <c r="E15" s="46">
        <v>3</v>
      </c>
      <c r="G15" s="157">
        <f>G14+4</f>
        <v>38490</v>
      </c>
      <c r="H15" s="168">
        <f>SUM(E24:E27)</f>
        <v>4</v>
      </c>
    </row>
    <row r="16" spans="2:8" ht="12">
      <c r="B16" s="155">
        <v>38474</v>
      </c>
      <c r="D16" s="151">
        <f t="shared" si="0"/>
        <v>38482</v>
      </c>
      <c r="E16" s="46">
        <v>4</v>
      </c>
      <c r="G16" s="158"/>
      <c r="H16" s="46"/>
    </row>
    <row r="17" spans="2:8" ht="12">
      <c r="B17" s="155">
        <v>38474</v>
      </c>
      <c r="D17" s="151">
        <f t="shared" si="0"/>
        <v>38483</v>
      </c>
      <c r="E17" s="46">
        <v>2</v>
      </c>
      <c r="G17" s="158"/>
      <c r="H17" s="46"/>
    </row>
    <row r="18" spans="2:8" ht="12">
      <c r="B18" s="155">
        <v>38476</v>
      </c>
      <c r="D18" s="151">
        <f t="shared" si="0"/>
        <v>38484</v>
      </c>
      <c r="E18" s="46">
        <v>1</v>
      </c>
      <c r="G18" s="158"/>
      <c r="H18" s="46"/>
    </row>
    <row r="19" spans="2:8" ht="12">
      <c r="B19" s="155">
        <v>38476</v>
      </c>
      <c r="D19" s="151">
        <f t="shared" si="0"/>
        <v>38485</v>
      </c>
      <c r="E19" s="46">
        <v>4</v>
      </c>
      <c r="G19" s="158"/>
      <c r="H19" s="46"/>
    </row>
    <row r="20" spans="2:8" ht="12">
      <c r="B20" s="155">
        <v>38476</v>
      </c>
      <c r="D20" s="151">
        <f t="shared" si="0"/>
        <v>38486</v>
      </c>
      <c r="E20" s="46">
        <v>1</v>
      </c>
      <c r="G20" s="158"/>
      <c r="H20" s="46"/>
    </row>
    <row r="21" spans="2:8" ht="12">
      <c r="B21" s="155">
        <v>38476</v>
      </c>
      <c r="D21" s="151">
        <f t="shared" si="0"/>
        <v>38487</v>
      </c>
      <c r="E21" s="46">
        <v>3</v>
      </c>
      <c r="G21" s="158"/>
      <c r="H21" s="46"/>
    </row>
    <row r="22" spans="2:8" ht="12">
      <c r="B22" s="155">
        <v>38477</v>
      </c>
      <c r="D22" s="151">
        <f t="shared" si="0"/>
        <v>38488</v>
      </c>
      <c r="E22" s="46">
        <v>2</v>
      </c>
      <c r="G22" s="158"/>
      <c r="H22" s="46"/>
    </row>
    <row r="23" spans="2:8" ht="12">
      <c r="B23" s="155">
        <v>38477</v>
      </c>
      <c r="D23" s="151">
        <f t="shared" si="0"/>
        <v>38489</v>
      </c>
      <c r="E23" s="46">
        <v>1</v>
      </c>
      <c r="G23" s="158"/>
      <c r="H23" s="46"/>
    </row>
    <row r="24" spans="2:8" ht="12">
      <c r="B24" s="155">
        <v>38477</v>
      </c>
      <c r="D24" s="151">
        <f t="shared" si="0"/>
        <v>38490</v>
      </c>
      <c r="E24" s="46">
        <v>2</v>
      </c>
      <c r="G24" s="158"/>
      <c r="H24" s="46"/>
    </row>
    <row r="25" spans="2:8" ht="12">
      <c r="B25" s="155">
        <v>38478</v>
      </c>
      <c r="D25" s="151">
        <f t="shared" si="0"/>
        <v>38491</v>
      </c>
      <c r="E25" s="46">
        <v>1</v>
      </c>
      <c r="G25" s="158"/>
      <c r="H25" s="46"/>
    </row>
    <row r="26" spans="2:7" ht="12">
      <c r="B26" s="155">
        <v>38478</v>
      </c>
      <c r="D26" s="151">
        <f t="shared" si="0"/>
        <v>38492</v>
      </c>
      <c r="E26" s="46">
        <v>1</v>
      </c>
      <c r="G26" s="158"/>
    </row>
    <row r="27" spans="2:7" ht="12">
      <c r="B27" s="155">
        <v>38478</v>
      </c>
      <c r="D27" s="151">
        <f t="shared" si="0"/>
        <v>38493</v>
      </c>
      <c r="E27" s="46"/>
      <c r="G27" s="158"/>
    </row>
    <row r="28" spans="2:7" ht="12">
      <c r="B28" s="155">
        <v>38479</v>
      </c>
      <c r="D28" s="151">
        <f t="shared" si="0"/>
        <v>38494</v>
      </c>
      <c r="E28" s="46">
        <v>2</v>
      </c>
      <c r="G28" s="158"/>
    </row>
    <row r="29" spans="2:7" ht="12">
      <c r="B29" s="155">
        <v>38479</v>
      </c>
      <c r="D29" s="151">
        <f t="shared" si="0"/>
        <v>38495</v>
      </c>
      <c r="E29" s="46">
        <v>2</v>
      </c>
      <c r="G29" s="158"/>
    </row>
    <row r="30" spans="2:7" ht="12">
      <c r="B30" s="155">
        <v>38479</v>
      </c>
      <c r="D30" s="151">
        <f t="shared" si="0"/>
        <v>38496</v>
      </c>
      <c r="E30" s="46">
        <v>2</v>
      </c>
      <c r="G30" s="158"/>
    </row>
    <row r="31" spans="2:7" ht="12">
      <c r="B31" s="155">
        <v>38479</v>
      </c>
      <c r="D31" s="151">
        <f t="shared" si="0"/>
        <v>38497</v>
      </c>
      <c r="E31" s="46"/>
      <c r="G31" s="158"/>
    </row>
    <row r="32" spans="2:7" ht="12">
      <c r="B32" s="155">
        <v>38479</v>
      </c>
      <c r="D32" s="151">
        <f t="shared" si="0"/>
        <v>38498</v>
      </c>
      <c r="E32" s="46"/>
      <c r="G32" s="158"/>
    </row>
    <row r="33" spans="2:7" ht="12">
      <c r="B33" s="155">
        <v>38480</v>
      </c>
      <c r="D33" s="151">
        <f t="shared" si="0"/>
        <v>38499</v>
      </c>
      <c r="E33" s="46">
        <v>1</v>
      </c>
      <c r="G33" s="158"/>
    </row>
    <row r="34" spans="2:7" ht="12">
      <c r="B34" s="155">
        <v>38480</v>
      </c>
      <c r="D34" s="151">
        <f t="shared" si="0"/>
        <v>38500</v>
      </c>
      <c r="E34" s="46"/>
      <c r="G34" s="158"/>
    </row>
    <row r="35" spans="2:7" ht="12">
      <c r="B35" s="155">
        <v>38480</v>
      </c>
      <c r="D35" s="151">
        <f t="shared" si="0"/>
        <v>38501</v>
      </c>
      <c r="E35" s="46">
        <v>1</v>
      </c>
      <c r="G35" s="158"/>
    </row>
    <row r="36" spans="2:7" ht="12">
      <c r="B36" s="155">
        <v>38481</v>
      </c>
      <c r="D36" s="151">
        <f t="shared" si="0"/>
        <v>38502</v>
      </c>
      <c r="E36" s="46"/>
      <c r="G36" s="158"/>
    </row>
    <row r="37" spans="2:7" ht="12">
      <c r="B37" s="155">
        <v>38481</v>
      </c>
      <c r="D37" s="151">
        <f t="shared" si="0"/>
        <v>38503</v>
      </c>
      <c r="E37" s="46"/>
      <c r="G37" s="158"/>
    </row>
    <row r="38" spans="2:7" ht="12">
      <c r="B38" s="155">
        <v>38481</v>
      </c>
      <c r="D38" s="151">
        <f t="shared" si="0"/>
        <v>38504</v>
      </c>
      <c r="E38" s="46">
        <v>2</v>
      </c>
      <c r="G38" s="158"/>
    </row>
    <row r="39" spans="2:7" ht="12">
      <c r="B39" s="155">
        <v>38482</v>
      </c>
      <c r="D39" s="151">
        <f t="shared" si="0"/>
        <v>38505</v>
      </c>
      <c r="E39" s="46"/>
      <c r="G39" s="158"/>
    </row>
    <row r="40" spans="2:7" ht="12">
      <c r="B40" s="155">
        <v>38482</v>
      </c>
      <c r="D40" s="151">
        <f t="shared" si="0"/>
        <v>38506</v>
      </c>
      <c r="E40" s="46"/>
      <c r="G40" s="158"/>
    </row>
    <row r="41" spans="2:7" ht="12">
      <c r="B41" s="155">
        <v>38482</v>
      </c>
      <c r="D41" s="151">
        <f t="shared" si="0"/>
        <v>38507</v>
      </c>
      <c r="E41" s="46"/>
      <c r="G41" s="158"/>
    </row>
    <row r="42" spans="2:7" ht="12">
      <c r="B42" s="155">
        <v>38482</v>
      </c>
      <c r="D42" s="151">
        <f t="shared" si="0"/>
        <v>38508</v>
      </c>
      <c r="E42" s="46">
        <v>2</v>
      </c>
      <c r="G42" s="158"/>
    </row>
    <row r="43" spans="2:7" ht="12">
      <c r="B43" s="155">
        <v>38483</v>
      </c>
      <c r="D43" s="151">
        <f t="shared" si="0"/>
        <v>38509</v>
      </c>
      <c r="E43" s="46">
        <v>1</v>
      </c>
      <c r="G43" s="158"/>
    </row>
    <row r="44" spans="2:7" ht="12">
      <c r="B44" s="155">
        <v>38483</v>
      </c>
      <c r="D44" s="151">
        <f t="shared" si="0"/>
        <v>38510</v>
      </c>
      <c r="E44" s="46">
        <v>3</v>
      </c>
      <c r="G44" s="158"/>
    </row>
    <row r="45" spans="2:7" ht="12">
      <c r="B45" s="155">
        <v>38484</v>
      </c>
      <c r="D45" s="151">
        <f t="shared" si="0"/>
        <v>38511</v>
      </c>
      <c r="E45" s="46">
        <v>1</v>
      </c>
      <c r="G45" s="158"/>
    </row>
    <row r="46" spans="2:7" ht="12">
      <c r="B46" s="155">
        <v>38485</v>
      </c>
      <c r="D46" s="151">
        <f t="shared" si="0"/>
        <v>38512</v>
      </c>
      <c r="E46" s="46">
        <v>1</v>
      </c>
      <c r="G46" s="158"/>
    </row>
    <row r="47" spans="2:7" ht="12">
      <c r="B47" s="155">
        <v>38485</v>
      </c>
      <c r="D47" s="151">
        <f t="shared" si="0"/>
        <v>38513</v>
      </c>
      <c r="E47" s="46">
        <v>2</v>
      </c>
      <c r="G47" s="158"/>
    </row>
    <row r="48" spans="2:7" ht="12">
      <c r="B48" s="155">
        <v>38485</v>
      </c>
      <c r="D48" s="151">
        <f t="shared" si="0"/>
        <v>38514</v>
      </c>
      <c r="E48" s="46">
        <v>3</v>
      </c>
      <c r="G48" s="158"/>
    </row>
    <row r="49" spans="2:7" ht="12">
      <c r="B49" s="155">
        <v>38485</v>
      </c>
      <c r="D49" s="151">
        <f t="shared" si="0"/>
        <v>38515</v>
      </c>
      <c r="E49" s="46">
        <v>3</v>
      </c>
      <c r="G49" s="158"/>
    </row>
    <row r="50" spans="2:7" ht="12">
      <c r="B50" s="155">
        <v>38121</v>
      </c>
      <c r="D50" s="151">
        <f t="shared" si="0"/>
        <v>38516</v>
      </c>
      <c r="E50" s="46">
        <v>4</v>
      </c>
      <c r="G50" s="158"/>
    </row>
    <row r="51" spans="2:7" ht="12">
      <c r="B51" s="155">
        <v>38487</v>
      </c>
      <c r="D51" s="151">
        <f t="shared" si="0"/>
        <v>38517</v>
      </c>
      <c r="E51" s="46">
        <v>2</v>
      </c>
      <c r="G51" s="158"/>
    </row>
  </sheetData>
  <sheetProtection password="C774" sheet="1" objects="1" scenarios="1"/>
  <hyperlinks>
    <hyperlink ref="M1" location="'Main Menu'!A1" display="Main Menu"/>
  </hyperlinks>
  <printOptions/>
  <pageMargins left="0.75" right="0.75" top="1" bottom="1" header="0.5" footer="0.5"/>
  <pageSetup horizontalDpi="600" verticalDpi="600" orientation="portrait"/>
  <ignoredErrors>
    <ignoredError sqref="H10 H11:H15" formulaRange="1"/>
  </ignoredErrors>
  <drawing r:id="rId1"/>
</worksheet>
</file>

<file path=xl/worksheets/sheet14.xml><?xml version="1.0" encoding="utf-8"?>
<worksheet xmlns="http://schemas.openxmlformats.org/spreadsheetml/2006/main" xmlns:r="http://schemas.openxmlformats.org/officeDocument/2006/relationships">
  <dimension ref="A1:K14"/>
  <sheetViews>
    <sheetView workbookViewId="0" topLeftCell="A1">
      <selection activeCell="K1" sqref="K1"/>
    </sheetView>
  </sheetViews>
  <sheetFormatPr defaultColWidth="8.8515625" defaultRowHeight="12.75"/>
  <sheetData>
    <row r="1" spans="1:11" ht="12">
      <c r="A1" s="344" t="s">
        <v>271</v>
      </c>
      <c r="B1" s="345"/>
      <c r="C1" s="345"/>
      <c r="D1" s="345"/>
      <c r="E1" s="345"/>
      <c r="F1" s="346"/>
      <c r="K1" s="167" t="s">
        <v>193</v>
      </c>
    </row>
    <row r="2" spans="3:5" ht="12">
      <c r="C2" s="279" t="s">
        <v>272</v>
      </c>
      <c r="D2" s="279"/>
      <c r="E2" s="171">
        <v>4</v>
      </c>
    </row>
    <row r="3" spans="3:5" ht="12">
      <c r="C3" s="42"/>
      <c r="D3" s="42"/>
      <c r="E3" s="240"/>
    </row>
    <row r="4" spans="3:5" ht="12">
      <c r="C4" s="279" t="s">
        <v>273</v>
      </c>
      <c r="D4" s="279"/>
      <c r="E4" s="171">
        <v>7</v>
      </c>
    </row>
    <row r="5" spans="3:4" ht="12">
      <c r="C5" s="42"/>
      <c r="D5" s="42"/>
    </row>
    <row r="6" ht="12">
      <c r="C6" s="24"/>
    </row>
    <row r="7" spans="3:5" ht="12">
      <c r="C7" s="62" t="s">
        <v>278</v>
      </c>
      <c r="D7" s="110"/>
      <c r="E7" s="244">
        <f>D14</f>
        <v>4</v>
      </c>
    </row>
    <row r="10" spans="3:4" ht="12">
      <c r="C10" s="241" t="s">
        <v>274</v>
      </c>
      <c r="D10" s="242">
        <f ca="1">RAND()</f>
        <v>0.8187636758678623</v>
      </c>
    </row>
    <row r="11" spans="3:4" ht="12.75">
      <c r="C11" s="242"/>
      <c r="D11" s="242">
        <f>TRUNC(D10*100,0)</f>
        <v>81</v>
      </c>
    </row>
    <row r="12" spans="3:4" ht="12.75">
      <c r="C12" s="243" t="s">
        <v>275</v>
      </c>
      <c r="D12" s="242">
        <f>D11*E2</f>
        <v>324</v>
      </c>
    </row>
    <row r="13" spans="3:4" ht="12.75">
      <c r="C13" s="243" t="s">
        <v>276</v>
      </c>
      <c r="D13" s="242">
        <f>D12/100</f>
        <v>3.24</v>
      </c>
    </row>
    <row r="14" spans="3:4" ht="12.75">
      <c r="C14" s="243" t="s">
        <v>277</v>
      </c>
      <c r="D14" s="242">
        <f>TRUNC(D13,0)+1</f>
        <v>4</v>
      </c>
    </row>
  </sheetData>
  <sheetProtection password="C774" sheet="1" objects="1" scenarios="1"/>
  <mergeCells count="3">
    <mergeCell ref="A1:F1"/>
    <mergeCell ref="C2:D2"/>
    <mergeCell ref="C4:D4"/>
  </mergeCells>
  <hyperlinks>
    <hyperlink ref="K1" location="'Main Menu'!A1" display="Main Menu"/>
  </hyperlinks>
  <printOptions/>
  <pageMargins left="0.75" right="0.75" top="1" bottom="1" header="0.5" footer="0.5"/>
  <pageSetup horizontalDpi="600" verticalDpi="600" orientation="portrait"/>
  <drawing r:id="rId1"/>
</worksheet>
</file>

<file path=xl/worksheets/sheet15.xml><?xml version="1.0" encoding="utf-8"?>
<worksheet xmlns="http://schemas.openxmlformats.org/spreadsheetml/2006/main" xmlns:r="http://schemas.openxmlformats.org/officeDocument/2006/relationships">
  <dimension ref="A1:O42"/>
  <sheetViews>
    <sheetView workbookViewId="0" topLeftCell="A1">
      <selection activeCell="A24" sqref="A24:D24"/>
    </sheetView>
  </sheetViews>
  <sheetFormatPr defaultColWidth="8.8515625" defaultRowHeight="12.75"/>
  <cols>
    <col min="1" max="3" width="8.8515625" style="0" customWidth="1"/>
    <col min="4" max="4" width="11.421875" style="0" customWidth="1"/>
    <col min="5" max="5" width="10.00390625" style="0" customWidth="1"/>
    <col min="6" max="12" width="8.8515625" style="0" customWidth="1"/>
    <col min="13" max="13" width="7.00390625" style="0" customWidth="1"/>
    <col min="14" max="14" width="6.28125" style="0" customWidth="1"/>
  </cols>
  <sheetData>
    <row r="1" ht="35.25" customHeight="1">
      <c r="O1" s="167" t="s">
        <v>193</v>
      </c>
    </row>
    <row r="2" spans="1:4" ht="15">
      <c r="A2" s="347" t="s">
        <v>330</v>
      </c>
      <c r="B2" s="347"/>
      <c r="C2" s="347"/>
      <c r="D2" s="347"/>
    </row>
    <row r="3" spans="2:4" ht="12">
      <c r="B3" t="s">
        <v>77</v>
      </c>
      <c r="D3" t="s">
        <v>80</v>
      </c>
    </row>
    <row r="4" spans="2:4" ht="12">
      <c r="B4" s="136" t="s">
        <v>61</v>
      </c>
      <c r="D4" s="136" t="s">
        <v>61</v>
      </c>
    </row>
    <row r="5" spans="2:4" ht="12">
      <c r="B5" s="135">
        <v>25</v>
      </c>
      <c r="D5" s="135">
        <v>23</v>
      </c>
    </row>
    <row r="6" spans="2:4" ht="12">
      <c r="B6" s="135">
        <v>25</v>
      </c>
      <c r="D6" s="135">
        <v>26</v>
      </c>
    </row>
    <row r="7" spans="2:4" ht="12.75">
      <c r="B7" s="135">
        <v>27</v>
      </c>
      <c r="D7" s="135">
        <v>24</v>
      </c>
    </row>
    <row r="8" spans="2:4" ht="12.75">
      <c r="B8" s="135">
        <v>34</v>
      </c>
      <c r="D8" s="135">
        <v>32</v>
      </c>
    </row>
    <row r="9" spans="2:4" ht="12.75">
      <c r="B9" s="135">
        <v>38</v>
      </c>
      <c r="D9" s="135">
        <v>34</v>
      </c>
    </row>
    <row r="10" spans="2:4" ht="12.75">
      <c r="B10" s="135">
        <v>30</v>
      </c>
      <c r="D10" s="135">
        <v>30</v>
      </c>
    </row>
    <row r="11" spans="2:4" ht="12.75">
      <c r="B11" s="135">
        <v>25</v>
      </c>
      <c r="D11" s="135">
        <v>24</v>
      </c>
    </row>
    <row r="12" spans="2:4" ht="12.75">
      <c r="B12" s="135">
        <v>28</v>
      </c>
      <c r="D12" s="135">
        <v>26</v>
      </c>
    </row>
    <row r="13" spans="2:4" ht="12.75">
      <c r="B13" s="135">
        <v>29</v>
      </c>
      <c r="D13" s="135">
        <v>22</v>
      </c>
    </row>
    <row r="14" spans="2:4" ht="12.75">
      <c r="B14" s="135">
        <v>32</v>
      </c>
      <c r="D14" s="135">
        <v>31</v>
      </c>
    </row>
    <row r="15" spans="2:4" ht="12.75">
      <c r="B15" s="135">
        <v>27</v>
      </c>
      <c r="D15" s="135">
        <v>28</v>
      </c>
    </row>
    <row r="16" spans="2:4" ht="12.75">
      <c r="B16" s="135">
        <v>28</v>
      </c>
      <c r="D16" s="135">
        <v>25</v>
      </c>
    </row>
    <row r="17" spans="2:4" ht="12.75">
      <c r="B17" s="135">
        <v>30</v>
      </c>
      <c r="D17" s="135">
        <v>27</v>
      </c>
    </row>
    <row r="18" spans="2:4" ht="12.75">
      <c r="B18" s="135">
        <v>31</v>
      </c>
      <c r="D18" s="135">
        <v>30</v>
      </c>
    </row>
    <row r="19" spans="2:4" ht="12.75">
      <c r="B19" s="68">
        <f>AVERAGE(B5:B18)</f>
        <v>29.214285714285715</v>
      </c>
      <c r="C19" s="62" t="s">
        <v>74</v>
      </c>
      <c r="D19" s="68">
        <f>AVERAGE(D5:D18)</f>
        <v>27.285714285714285</v>
      </c>
    </row>
    <row r="20" spans="2:4" ht="12">
      <c r="B20" s="68">
        <f>STDEV(B5:B18)</f>
        <v>3.704022167830565</v>
      </c>
      <c r="C20" s="62" t="s">
        <v>99</v>
      </c>
      <c r="D20" s="68">
        <f>STDEV(D5:D18)</f>
        <v>3.64646449272488</v>
      </c>
    </row>
    <row r="21" ht="12">
      <c r="E21" s="62"/>
    </row>
    <row r="22" spans="2:4" ht="12.75">
      <c r="B22" s="43"/>
      <c r="C22" s="52" t="s">
        <v>124</v>
      </c>
      <c r="D22" s="267">
        <f>TTEST(B5:B18,D5:D18,2,2)</f>
        <v>0.17682507764335093</v>
      </c>
    </row>
    <row r="23" ht="12.75">
      <c r="C23" s="1"/>
    </row>
    <row r="24" spans="1:4" ht="15.75">
      <c r="A24" s="347" t="s">
        <v>331</v>
      </c>
      <c r="B24" s="347"/>
      <c r="C24" s="347"/>
      <c r="D24" s="347"/>
    </row>
    <row r="25" spans="2:4" ht="12.75">
      <c r="B25" s="69" t="s">
        <v>125</v>
      </c>
      <c r="C25" s="69"/>
      <c r="D25" s="69" t="s">
        <v>126</v>
      </c>
    </row>
    <row r="26" spans="1:5" ht="15">
      <c r="A26" t="s">
        <v>156</v>
      </c>
      <c r="B26" s="69" t="s">
        <v>122</v>
      </c>
      <c r="C26" s="69"/>
      <c r="D26" s="69" t="s">
        <v>123</v>
      </c>
      <c r="E26" s="70" t="s">
        <v>127</v>
      </c>
    </row>
    <row r="27" spans="1:5" ht="15">
      <c r="A27">
        <v>1</v>
      </c>
      <c r="B27" s="135">
        <v>25</v>
      </c>
      <c r="D27" s="135">
        <v>23</v>
      </c>
      <c r="E27" s="70">
        <f>D27-B27</f>
        <v>-2</v>
      </c>
    </row>
    <row r="28" spans="1:5" ht="15">
      <c r="A28">
        <v>2</v>
      </c>
      <c r="B28" s="135">
        <v>25</v>
      </c>
      <c r="D28" s="135">
        <v>26</v>
      </c>
      <c r="E28" s="70">
        <f aca="true" t="shared" si="0" ref="E28:E40">D28-B28</f>
        <v>1</v>
      </c>
    </row>
    <row r="29" spans="1:5" ht="15">
      <c r="A29">
        <v>3</v>
      </c>
      <c r="B29" s="135">
        <v>27</v>
      </c>
      <c r="D29" s="135">
        <v>24</v>
      </c>
      <c r="E29" s="70">
        <f t="shared" si="0"/>
        <v>-3</v>
      </c>
    </row>
    <row r="30" spans="1:5" ht="15">
      <c r="A30">
        <v>4</v>
      </c>
      <c r="B30" s="135">
        <v>34</v>
      </c>
      <c r="D30" s="135">
        <v>32</v>
      </c>
      <c r="E30" s="70">
        <f t="shared" si="0"/>
        <v>-2</v>
      </c>
    </row>
    <row r="31" spans="1:5" ht="15">
      <c r="A31">
        <v>5</v>
      </c>
      <c r="B31" s="135">
        <v>38</v>
      </c>
      <c r="D31" s="135">
        <v>34</v>
      </c>
      <c r="E31" s="70">
        <f t="shared" si="0"/>
        <v>-4</v>
      </c>
    </row>
    <row r="32" spans="1:5" ht="15">
      <c r="A32">
        <v>6</v>
      </c>
      <c r="B32" s="135">
        <v>30</v>
      </c>
      <c r="D32" s="135">
        <v>30</v>
      </c>
      <c r="E32" s="70">
        <f t="shared" si="0"/>
        <v>0</v>
      </c>
    </row>
    <row r="33" spans="1:5" ht="15">
      <c r="A33">
        <v>7</v>
      </c>
      <c r="B33" s="135">
        <v>25</v>
      </c>
      <c r="D33" s="135">
        <v>24</v>
      </c>
      <c r="E33" s="70">
        <f t="shared" si="0"/>
        <v>-1</v>
      </c>
    </row>
    <row r="34" spans="1:5" ht="15">
      <c r="A34">
        <v>8</v>
      </c>
      <c r="B34" s="135">
        <v>28</v>
      </c>
      <c r="D34" s="135">
        <v>26</v>
      </c>
      <c r="E34" s="70">
        <f t="shared" si="0"/>
        <v>-2</v>
      </c>
    </row>
    <row r="35" spans="1:5" ht="12.75">
      <c r="A35">
        <v>9</v>
      </c>
      <c r="B35" s="135">
        <v>29</v>
      </c>
      <c r="D35" s="135">
        <v>22</v>
      </c>
      <c r="E35" s="70">
        <f t="shared" si="0"/>
        <v>-7</v>
      </c>
    </row>
    <row r="36" spans="1:5" ht="12.75">
      <c r="A36">
        <v>10</v>
      </c>
      <c r="B36" s="135">
        <v>32</v>
      </c>
      <c r="D36" s="135">
        <v>31</v>
      </c>
      <c r="E36" s="70">
        <f t="shared" si="0"/>
        <v>-1</v>
      </c>
    </row>
    <row r="37" spans="1:5" ht="12.75">
      <c r="A37">
        <v>11</v>
      </c>
      <c r="B37" s="135">
        <v>27</v>
      </c>
      <c r="D37" s="135">
        <v>28</v>
      </c>
      <c r="E37" s="70">
        <f t="shared" si="0"/>
        <v>1</v>
      </c>
    </row>
    <row r="38" spans="1:5" ht="12.75">
      <c r="A38">
        <v>12</v>
      </c>
      <c r="B38" s="135">
        <v>28</v>
      </c>
      <c r="D38" s="135">
        <v>25</v>
      </c>
      <c r="E38" s="70">
        <f t="shared" si="0"/>
        <v>-3</v>
      </c>
    </row>
    <row r="39" spans="1:5" ht="12.75">
      <c r="A39">
        <v>13</v>
      </c>
      <c r="B39" s="135">
        <v>30</v>
      </c>
      <c r="D39" s="135">
        <v>27</v>
      </c>
      <c r="E39" s="70">
        <f t="shared" si="0"/>
        <v>-3</v>
      </c>
    </row>
    <row r="40" spans="1:5" ht="12.75">
      <c r="A40">
        <v>14</v>
      </c>
      <c r="B40" s="135">
        <v>31</v>
      </c>
      <c r="D40" s="135">
        <v>30</v>
      </c>
      <c r="E40" s="70">
        <f t="shared" si="0"/>
        <v>-1</v>
      </c>
    </row>
    <row r="41" spans="4:5" ht="12.75">
      <c r="D41" s="52" t="s">
        <v>129</v>
      </c>
      <c r="E41" s="71">
        <f>AVERAGE(E27:E40)</f>
        <v>-1.9285714285714286</v>
      </c>
    </row>
    <row r="42" spans="4:5" ht="12.75">
      <c r="D42" s="52" t="s">
        <v>128</v>
      </c>
      <c r="E42" s="72">
        <f>TTEST(B27:B40,D27:D40,2,1)</f>
        <v>0.004322119717726664</v>
      </c>
    </row>
  </sheetData>
  <sheetProtection password="C774" sheet="1" objects="1" scenarios="1"/>
  <mergeCells count="2">
    <mergeCell ref="A2:D2"/>
    <mergeCell ref="A24:D24"/>
  </mergeCells>
  <hyperlinks>
    <hyperlink ref="O1" location="'Main Menu'!A1" display="Main Menu"/>
  </hyperlinks>
  <printOptions/>
  <pageMargins left="0.75" right="0.75" top="1" bottom="1" header="0.5" footer="0.5"/>
  <pageSetup horizontalDpi="600" verticalDpi="600" orientation="portrait"/>
  <drawing r:id="rId1"/>
</worksheet>
</file>

<file path=xl/worksheets/sheet16.xml><?xml version="1.0" encoding="utf-8"?>
<worksheet xmlns="http://schemas.openxmlformats.org/spreadsheetml/2006/main" xmlns:r="http://schemas.openxmlformats.org/officeDocument/2006/relationships">
  <dimension ref="A1:N34"/>
  <sheetViews>
    <sheetView workbookViewId="0" topLeftCell="A5">
      <selection activeCell="B27" sqref="B27"/>
    </sheetView>
  </sheetViews>
  <sheetFormatPr defaultColWidth="9.140625" defaultRowHeight="12.75"/>
  <cols>
    <col min="1" max="9" width="9.140625" style="78" customWidth="1"/>
    <col min="10" max="10" width="9.140625" style="113" customWidth="1"/>
    <col min="11" max="11" width="10.140625" style="113" customWidth="1"/>
    <col min="12" max="14" width="9.140625" style="113" customWidth="1"/>
    <col min="15" max="16384" width="9.140625" style="78" customWidth="1"/>
  </cols>
  <sheetData>
    <row r="1" spans="1:11" ht="29.25" customHeight="1">
      <c r="A1" s="360" t="s">
        <v>203</v>
      </c>
      <c r="B1" s="361"/>
      <c r="C1" s="361"/>
      <c r="D1" s="361"/>
      <c r="E1" s="361"/>
      <c r="F1" s="361"/>
      <c r="G1" s="362"/>
      <c r="K1" s="170" t="s">
        <v>193</v>
      </c>
    </row>
    <row r="2" spans="1:7" ht="12.75">
      <c r="A2" s="363"/>
      <c r="B2" s="364"/>
      <c r="C2" s="364"/>
      <c r="D2" s="364"/>
      <c r="E2" s="364"/>
      <c r="F2" s="364"/>
      <c r="G2" s="365"/>
    </row>
    <row r="3" spans="1:14" ht="14.25" customHeight="1">
      <c r="A3" s="114"/>
      <c r="B3" s="115"/>
      <c r="C3" s="115"/>
      <c r="J3" s="116" t="s">
        <v>72</v>
      </c>
      <c r="K3" s="116"/>
      <c r="L3" s="116"/>
      <c r="M3" s="116"/>
      <c r="N3" s="116"/>
    </row>
    <row r="4" spans="1:14" ht="12.75">
      <c r="A4" s="115"/>
      <c r="B4" s="115" t="s">
        <v>155</v>
      </c>
      <c r="C4" s="115"/>
      <c r="J4" s="116"/>
      <c r="K4" s="116"/>
      <c r="L4" s="116" t="s">
        <v>73</v>
      </c>
      <c r="M4" s="116"/>
      <c r="N4" s="116"/>
    </row>
    <row r="5" spans="2:14" ht="12.75">
      <c r="B5" s="117" t="s">
        <v>74</v>
      </c>
      <c r="C5" s="117" t="s">
        <v>75</v>
      </c>
      <c r="J5" s="116" t="s">
        <v>76</v>
      </c>
      <c r="K5" s="116">
        <v>0.05</v>
      </c>
      <c r="L5" s="116">
        <v>0.1</v>
      </c>
      <c r="M5" s="116">
        <v>0.2</v>
      </c>
      <c r="N5" s="116">
        <v>0.5</v>
      </c>
    </row>
    <row r="6" spans="1:14" ht="12.75">
      <c r="A6" s="118" t="s">
        <v>77</v>
      </c>
      <c r="B6" s="112">
        <v>25</v>
      </c>
      <c r="C6" s="112">
        <v>15</v>
      </c>
      <c r="J6" s="116">
        <v>0.1</v>
      </c>
      <c r="K6" s="116">
        <v>10.8</v>
      </c>
      <c r="L6" s="116">
        <v>8.6</v>
      </c>
      <c r="M6" s="116">
        <v>6.2</v>
      </c>
      <c r="N6" s="116">
        <v>2.7</v>
      </c>
    </row>
    <row r="7" spans="1:14" ht="12.75">
      <c r="A7" s="118" t="s">
        <v>80</v>
      </c>
      <c r="B7" s="112">
        <v>15</v>
      </c>
      <c r="C7" s="112">
        <v>15</v>
      </c>
      <c r="J7" s="116">
        <v>0.05</v>
      </c>
      <c r="K7" s="116">
        <v>13</v>
      </c>
      <c r="L7" s="116">
        <v>10.5</v>
      </c>
      <c r="M7" s="116">
        <v>7.8</v>
      </c>
      <c r="N7" s="116">
        <v>3.8</v>
      </c>
    </row>
    <row r="8" spans="10:14" ht="12.75">
      <c r="J8" s="116">
        <v>0.02</v>
      </c>
      <c r="K8" s="116">
        <v>15.8</v>
      </c>
      <c r="L8" s="116">
        <v>13</v>
      </c>
      <c r="M8" s="116">
        <v>10</v>
      </c>
      <c r="N8" s="116">
        <v>5.4</v>
      </c>
    </row>
    <row r="9" spans="1:14" ht="12.75">
      <c r="A9" s="78" t="s">
        <v>78</v>
      </c>
      <c r="C9" s="78">
        <f>(ABS(B7-B6)/B6*100)</f>
        <v>40</v>
      </c>
      <c r="D9" s="78" t="s">
        <v>79</v>
      </c>
      <c r="J9" s="116">
        <v>0.01</v>
      </c>
      <c r="K9" s="116">
        <v>17.8</v>
      </c>
      <c r="L9" s="116">
        <v>14.9</v>
      </c>
      <c r="M9" s="116">
        <v>11.7</v>
      </c>
      <c r="N9" s="116">
        <v>6.6</v>
      </c>
    </row>
    <row r="13" spans="3:6" ht="12.75">
      <c r="C13" s="348" t="s">
        <v>81</v>
      </c>
      <c r="D13" s="349"/>
      <c r="E13" s="349"/>
      <c r="F13" s="350"/>
    </row>
    <row r="14" spans="1:6" ht="12.75">
      <c r="A14" s="115" t="s">
        <v>82</v>
      </c>
      <c r="C14" s="115"/>
      <c r="D14" s="115" t="s">
        <v>83</v>
      </c>
      <c r="E14" s="115"/>
      <c r="F14" s="115"/>
    </row>
    <row r="15" spans="1:6" ht="12.75">
      <c r="A15" s="115" t="s">
        <v>84</v>
      </c>
      <c r="C15" s="119">
        <v>0.95</v>
      </c>
      <c r="D15" s="119">
        <v>0.9</v>
      </c>
      <c r="E15" s="119">
        <v>0.8</v>
      </c>
      <c r="F15" s="119">
        <v>0.5</v>
      </c>
    </row>
    <row r="16" spans="1:7" ht="12.75">
      <c r="A16" s="120"/>
      <c r="B16" s="121">
        <v>0.1</v>
      </c>
      <c r="C16" s="122">
        <f aca="true" t="shared" si="0" ref="C16:F19">(($C$6^2+$C$7^2)*K6)/($B$6-$B$7)^2</f>
        <v>48.6</v>
      </c>
      <c r="D16" s="123">
        <f t="shared" si="0"/>
        <v>38.7</v>
      </c>
      <c r="E16" s="123">
        <f t="shared" si="0"/>
        <v>27.9</v>
      </c>
      <c r="F16" s="124">
        <f t="shared" si="0"/>
        <v>12.15</v>
      </c>
      <c r="G16" s="78" t="s">
        <v>85</v>
      </c>
    </row>
    <row r="17" spans="1:7" ht="12.75">
      <c r="A17" s="120"/>
      <c r="B17" s="121">
        <v>0.05</v>
      </c>
      <c r="C17" s="125">
        <f t="shared" si="0"/>
        <v>58.5</v>
      </c>
      <c r="D17" s="126">
        <f t="shared" si="0"/>
        <v>47.25</v>
      </c>
      <c r="E17" s="126">
        <f t="shared" si="0"/>
        <v>35.1</v>
      </c>
      <c r="F17" s="127">
        <f t="shared" si="0"/>
        <v>17.1</v>
      </c>
      <c r="G17" s="78" t="s">
        <v>86</v>
      </c>
    </row>
    <row r="18" spans="1:7" ht="12.75">
      <c r="A18" s="120"/>
      <c r="B18" s="121">
        <v>0.02</v>
      </c>
      <c r="C18" s="125">
        <f t="shared" si="0"/>
        <v>71.1</v>
      </c>
      <c r="D18" s="128">
        <f t="shared" si="0"/>
        <v>58.5</v>
      </c>
      <c r="E18" s="128">
        <f t="shared" si="0"/>
        <v>45</v>
      </c>
      <c r="F18" s="127">
        <f t="shared" si="0"/>
        <v>24.3</v>
      </c>
      <c r="G18" s="78" t="s">
        <v>87</v>
      </c>
    </row>
    <row r="19" spans="1:6" ht="12.75">
      <c r="A19" s="120"/>
      <c r="B19" s="121">
        <v>0.01</v>
      </c>
      <c r="C19" s="129">
        <f t="shared" si="0"/>
        <v>80.1</v>
      </c>
      <c r="D19" s="130">
        <f t="shared" si="0"/>
        <v>67.05</v>
      </c>
      <c r="E19" s="130">
        <f t="shared" si="0"/>
        <v>52.65</v>
      </c>
      <c r="F19" s="131">
        <f t="shared" si="0"/>
        <v>29.7</v>
      </c>
    </row>
    <row r="20" spans="1:9" ht="12.75">
      <c r="A20" s="132" t="s">
        <v>88</v>
      </c>
      <c r="B20" s="133"/>
      <c r="C20" s="134"/>
      <c r="D20" s="134"/>
      <c r="E20" s="134"/>
      <c r="F20" s="134"/>
      <c r="G20" s="133"/>
      <c r="H20" s="133"/>
      <c r="I20" s="133"/>
    </row>
    <row r="21" spans="1:3" ht="26.25" customHeight="1">
      <c r="A21" s="114"/>
      <c r="B21" s="115"/>
      <c r="C21" s="115"/>
    </row>
    <row r="22" spans="1:3" ht="12.75">
      <c r="A22" s="115"/>
      <c r="B22" s="115" t="s">
        <v>155</v>
      </c>
      <c r="C22" s="115"/>
    </row>
    <row r="23" spans="2:3" ht="12.75">
      <c r="B23" s="117" t="s">
        <v>89</v>
      </c>
      <c r="C23" s="117" t="s">
        <v>90</v>
      </c>
    </row>
    <row r="24" spans="1:3" ht="12.75">
      <c r="A24" s="118" t="s">
        <v>77</v>
      </c>
      <c r="B24" s="112">
        <v>0.12</v>
      </c>
      <c r="C24" s="78">
        <f>(1-B24)</f>
        <v>0.88</v>
      </c>
    </row>
    <row r="25" spans="1:3" ht="12.75">
      <c r="A25" s="118" t="s">
        <v>80</v>
      </c>
      <c r="B25" s="112">
        <v>0.06</v>
      </c>
      <c r="C25" s="78">
        <f>(1-B25)</f>
        <v>0.94</v>
      </c>
    </row>
    <row r="28" spans="3:6" ht="12.75">
      <c r="C28" s="348" t="s">
        <v>81</v>
      </c>
      <c r="D28" s="349"/>
      <c r="E28" s="349"/>
      <c r="F28" s="350"/>
    </row>
    <row r="29" spans="1:6" ht="12.75">
      <c r="A29" s="115" t="s">
        <v>82</v>
      </c>
      <c r="C29" s="115"/>
      <c r="D29" s="115" t="s">
        <v>83</v>
      </c>
      <c r="E29" s="115"/>
      <c r="F29" s="115"/>
    </row>
    <row r="30" spans="1:6" ht="12.75">
      <c r="A30" s="115" t="s">
        <v>84</v>
      </c>
      <c r="C30" s="119">
        <v>0.95</v>
      </c>
      <c r="D30" s="119">
        <v>0.9</v>
      </c>
      <c r="E30" s="119">
        <v>0.8</v>
      </c>
      <c r="F30" s="119">
        <v>0.5</v>
      </c>
    </row>
    <row r="31" spans="2:10" ht="12.75">
      <c r="B31" s="121">
        <v>0.1</v>
      </c>
      <c r="C31" s="122">
        <f aca="true" t="shared" si="1" ref="C31:F34">(($B$24*$C$24+$B$25*$C$25)*(K6))/($B$24-$B$25)^2</f>
        <v>485.99999999999994</v>
      </c>
      <c r="D31" s="123">
        <f t="shared" si="1"/>
        <v>386.99999999999994</v>
      </c>
      <c r="E31" s="123">
        <f t="shared" si="1"/>
        <v>279</v>
      </c>
      <c r="F31" s="124">
        <f t="shared" si="1"/>
        <v>121.49999999999999</v>
      </c>
      <c r="H31" s="351" t="s">
        <v>101</v>
      </c>
      <c r="I31" s="352"/>
      <c r="J31" s="353"/>
    </row>
    <row r="32" spans="2:10" ht="12.75">
      <c r="B32" s="121">
        <v>0.05</v>
      </c>
      <c r="C32" s="125">
        <f t="shared" si="1"/>
        <v>585</v>
      </c>
      <c r="D32" s="126">
        <f t="shared" si="1"/>
        <v>472.49999999999994</v>
      </c>
      <c r="E32" s="126">
        <f t="shared" si="1"/>
        <v>350.99999999999994</v>
      </c>
      <c r="F32" s="127">
        <f t="shared" si="1"/>
        <v>170.99999999999997</v>
      </c>
      <c r="H32" s="354"/>
      <c r="I32" s="355"/>
      <c r="J32" s="356"/>
    </row>
    <row r="33" spans="2:10" ht="12.75">
      <c r="B33" s="121">
        <v>0.02</v>
      </c>
      <c r="C33" s="125">
        <f t="shared" si="1"/>
        <v>710.9999999999999</v>
      </c>
      <c r="D33" s="128">
        <f t="shared" si="1"/>
        <v>585</v>
      </c>
      <c r="E33" s="128">
        <f t="shared" si="1"/>
        <v>449.99999999999994</v>
      </c>
      <c r="F33" s="127">
        <f t="shared" si="1"/>
        <v>242.99999999999997</v>
      </c>
      <c r="H33" s="357"/>
      <c r="I33" s="358"/>
      <c r="J33" s="359"/>
    </row>
    <row r="34" spans="2:6" ht="12.75">
      <c r="B34" s="121">
        <v>0.01</v>
      </c>
      <c r="C34" s="129">
        <f t="shared" si="1"/>
        <v>800.9999999999999</v>
      </c>
      <c r="D34" s="130">
        <f t="shared" si="1"/>
        <v>670.4999999999999</v>
      </c>
      <c r="E34" s="130">
        <f t="shared" si="1"/>
        <v>526.4999999999999</v>
      </c>
      <c r="F34" s="131">
        <f t="shared" si="1"/>
        <v>296.99999999999994</v>
      </c>
    </row>
  </sheetData>
  <sheetProtection password="C774" sheet="1" objects="1" scenarios="1"/>
  <mergeCells count="4">
    <mergeCell ref="C28:F28"/>
    <mergeCell ref="H31:J33"/>
    <mergeCell ref="C13:F13"/>
    <mergeCell ref="A1:G2"/>
  </mergeCells>
  <hyperlinks>
    <hyperlink ref="K1" location="'Main Menu'!A1" display="Main Menu"/>
  </hyperlinks>
  <printOptions/>
  <pageMargins left="0.75" right="0.75" top="1" bottom="1" header="0.5" footer="0.5"/>
  <pageSetup orientation="portrait"/>
  <drawing r:id="rId1"/>
</worksheet>
</file>

<file path=xl/worksheets/sheet17.xml><?xml version="1.0" encoding="utf-8"?>
<worksheet xmlns="http://schemas.openxmlformats.org/spreadsheetml/2006/main" xmlns:r="http://schemas.openxmlformats.org/officeDocument/2006/relationships">
  <dimension ref="A1:BP107"/>
  <sheetViews>
    <sheetView workbookViewId="0" topLeftCell="A1">
      <selection activeCell="J1" sqref="J1:K1"/>
    </sheetView>
  </sheetViews>
  <sheetFormatPr defaultColWidth="9.140625" defaultRowHeight="12.75"/>
  <cols>
    <col min="1" max="11" width="6.8515625" style="4" customWidth="1"/>
    <col min="12" max="12" width="5.28125" style="4" customWidth="1"/>
    <col min="13" max="13" width="7.421875" style="4" customWidth="1"/>
    <col min="14" max="14" width="6.7109375" style="4" customWidth="1"/>
    <col min="15" max="16384" width="9.140625" style="4" customWidth="1"/>
  </cols>
  <sheetData>
    <row r="1" spans="1:11" ht="18.75" customHeight="1">
      <c r="A1" s="299" t="s">
        <v>22</v>
      </c>
      <c r="B1" s="300"/>
      <c r="C1" s="300"/>
      <c r="D1" s="301"/>
      <c r="J1" s="377" t="s">
        <v>193</v>
      </c>
      <c r="K1" s="275"/>
    </row>
    <row r="2" spans="1:13" ht="15">
      <c r="A2" s="20" t="s">
        <v>23</v>
      </c>
      <c r="B2" s="20"/>
      <c r="C2" s="20"/>
      <c r="L2" s="366"/>
      <c r="M2" s="366"/>
    </row>
    <row r="3" spans="1:13" ht="9.75">
      <c r="A3" s="367" t="s">
        <v>24</v>
      </c>
      <c r="B3" s="368"/>
      <c r="C3" s="368"/>
      <c r="D3" s="368"/>
      <c r="E3" s="368"/>
      <c r="F3" s="368"/>
      <c r="G3" s="368"/>
      <c r="H3" s="368"/>
      <c r="I3" s="368"/>
      <c r="J3" s="368"/>
      <c r="K3" s="369"/>
      <c r="L3" s="366"/>
      <c r="M3" s="366"/>
    </row>
    <row r="4" spans="1:13" ht="9.75">
      <c r="A4" s="370"/>
      <c r="B4" s="371"/>
      <c r="C4" s="371"/>
      <c r="D4" s="371"/>
      <c r="E4" s="371"/>
      <c r="F4" s="371"/>
      <c r="G4" s="371"/>
      <c r="H4" s="371"/>
      <c r="I4" s="371"/>
      <c r="J4" s="371"/>
      <c r="K4" s="372"/>
      <c r="L4" s="366"/>
      <c r="M4" s="366"/>
    </row>
    <row r="5" spans="1:13" ht="11.25" customHeight="1">
      <c r="A5" s="373"/>
      <c r="B5" s="374"/>
      <c r="C5" s="374"/>
      <c r="D5" s="374"/>
      <c r="E5" s="374"/>
      <c r="F5" s="374"/>
      <c r="G5" s="374"/>
      <c r="H5" s="374"/>
      <c r="I5" s="374"/>
      <c r="J5" s="374"/>
      <c r="K5" s="375"/>
      <c r="L5" s="366"/>
      <c r="M5" s="366"/>
    </row>
    <row r="6" spans="1:11" ht="32.25" customHeight="1">
      <c r="A6" s="376"/>
      <c r="B6" s="376"/>
      <c r="C6" s="376"/>
      <c r="D6" s="376"/>
      <c r="E6" s="376"/>
      <c r="F6" s="376"/>
      <c r="G6" s="376"/>
      <c r="H6" s="376"/>
      <c r="I6" s="376"/>
      <c r="J6" s="376"/>
      <c r="K6" s="376"/>
    </row>
    <row r="7" spans="1:14" ht="63" customHeight="1">
      <c r="A7" s="26" t="s">
        <v>8</v>
      </c>
      <c r="B7" s="26"/>
      <c r="C7" s="27" t="s">
        <v>9</v>
      </c>
      <c r="D7" s="27" t="s">
        <v>10</v>
      </c>
      <c r="E7" s="27" t="s">
        <v>11</v>
      </c>
      <c r="F7" s="27" t="s">
        <v>12</v>
      </c>
      <c r="G7" s="27" t="s">
        <v>13</v>
      </c>
      <c r="H7" s="27" t="s">
        <v>14</v>
      </c>
      <c r="I7" s="27" t="s">
        <v>15</v>
      </c>
      <c r="J7" s="27" t="s">
        <v>16</v>
      </c>
      <c r="K7" s="27" t="s">
        <v>17</v>
      </c>
      <c r="M7" s="5" t="s">
        <v>18</v>
      </c>
      <c r="N7" s="5" t="s">
        <v>19</v>
      </c>
    </row>
    <row r="8" spans="1:14" ht="10.5">
      <c r="A8" s="28">
        <v>0</v>
      </c>
      <c r="B8" s="29"/>
      <c r="C8" s="30">
        <v>100</v>
      </c>
      <c r="D8" s="30">
        <v>6</v>
      </c>
      <c r="E8" s="30">
        <v>4</v>
      </c>
      <c r="F8" s="31">
        <f>IF(SUM(C8)&lt;=0,"",C8-0.5*E8)</f>
        <v>98</v>
      </c>
      <c r="G8" s="32">
        <f>IF(SUM(C8)&lt;=0,"",D8/F8)</f>
        <v>0.061224489795918366</v>
      </c>
      <c r="H8" s="32">
        <f>IF(SUM(C8)&lt;=0,"",1-G8)</f>
        <v>0.9387755102040817</v>
      </c>
      <c r="I8" s="33">
        <f>IF(SUM(C8)&lt;=0,"",H8)</f>
        <v>0.9387755102040817</v>
      </c>
      <c r="J8" s="34">
        <f aca="true" t="shared" si="0" ref="J8:J55">IF(SUM(C8)&lt;=0,"",($N8/($N8+1.96^2))*ABS($I8+1.96^2/2/$N8-1.96*SQRT($I8*(1-$I8)/$N8+1.96^2/4/$N8/$N8)))</f>
        <v>0.8728075711424848</v>
      </c>
      <c r="K8" s="34">
        <f aca="true" t="shared" si="1" ref="K8:K55">IF(SUM(C8)&lt;=0,"",($N8/($N8+1.96^2))*ABS($I8+1.96^2/2/$N8+1.96*SQRT($I8*(1-$I8)/$N8+1.96^2/4/$N8/$N8)))</f>
        <v>0.9716410628145624</v>
      </c>
      <c r="M8" s="7">
        <f>IF(SUM(C8)&lt;=0,"",G8/H8/F8)</f>
        <v>0.0006654835847382431</v>
      </c>
      <c r="N8" s="8">
        <f aca="true" t="shared" si="2" ref="N8:N55">IF(SUM(C8)&lt;=0,"",(1-I8)/I8/M8)</f>
        <v>97.99999999999994</v>
      </c>
    </row>
    <row r="9" spans="1:14" ht="10.5">
      <c r="A9" s="28">
        <f aca="true" t="shared" si="3" ref="A9:A55">A8+1</f>
        <v>1</v>
      </c>
      <c r="B9" s="29"/>
      <c r="C9" s="35">
        <f>IF(SUM(C8)&lt;=0,"",C8-D8-E8)</f>
        <v>90</v>
      </c>
      <c r="D9" s="30">
        <v>6</v>
      </c>
      <c r="E9" s="30">
        <v>5</v>
      </c>
      <c r="F9" s="31">
        <f>IF(SUM(C9)&lt;=0,"",C9-0.5*E9)</f>
        <v>87.5</v>
      </c>
      <c r="G9" s="32">
        <f>IF(SUM(C9)&lt;=0,"",D9/F9)</f>
        <v>0.06857142857142857</v>
      </c>
      <c r="H9" s="32">
        <f>IF(SUM(C9)&lt;=0,"",1-G9)</f>
        <v>0.9314285714285714</v>
      </c>
      <c r="I9" s="33">
        <f>IF(SUM(C9)&lt;=0,"",I8*H9)</f>
        <v>0.874402332361516</v>
      </c>
      <c r="J9" s="34">
        <f t="shared" si="0"/>
        <v>0.7930786914692055</v>
      </c>
      <c r="K9" s="34">
        <f t="shared" si="1"/>
        <v>0.9267177052837637</v>
      </c>
      <c r="M9" s="7">
        <f aca="true" t="shared" si="4" ref="M9:M55">IF(SUM(C9)&lt;=0,"",M8+G9/H9/F9)</f>
        <v>0.001506850806473563</v>
      </c>
      <c r="N9" s="8">
        <f t="shared" si="2"/>
        <v>95.32350709873202</v>
      </c>
    </row>
    <row r="10" spans="1:14" ht="10.5">
      <c r="A10" s="28">
        <f t="shared" si="3"/>
        <v>2</v>
      </c>
      <c r="B10" s="29"/>
      <c r="C10" s="35">
        <f>IF(SUM(C9)&lt;=0,"",C9-D9-E9)</f>
        <v>79</v>
      </c>
      <c r="D10" s="30">
        <v>3</v>
      </c>
      <c r="E10" s="30">
        <v>2</v>
      </c>
      <c r="F10" s="31">
        <f>IF(SUM(C10)&lt;=0,"",C10-0.5*E10)</f>
        <v>78</v>
      </c>
      <c r="G10" s="32">
        <f>IF(SUM(C10)&lt;=0,"",D10/F10)</f>
        <v>0.038461538461538464</v>
      </c>
      <c r="H10" s="32">
        <f>IF(SUM(C10)&lt;=0,"",1-G10)</f>
        <v>0.9615384615384616</v>
      </c>
      <c r="I10" s="33">
        <f>IF(SUM(C10)&lt;=0,"",I9*H10)</f>
        <v>0.8407714734245346</v>
      </c>
      <c r="J10" s="34">
        <f t="shared" si="0"/>
        <v>0.7535449851739491</v>
      </c>
      <c r="K10" s="34">
        <f t="shared" si="1"/>
        <v>0.9011750711119917</v>
      </c>
      <c r="M10" s="7">
        <f t="shared" si="4"/>
        <v>0.0020196713192940758</v>
      </c>
      <c r="N10" s="8">
        <f t="shared" si="2"/>
        <v>93.76963166249818</v>
      </c>
    </row>
    <row r="11" spans="1:14" ht="10.5">
      <c r="A11" s="28">
        <f t="shared" si="3"/>
        <v>3</v>
      </c>
      <c r="B11" s="29"/>
      <c r="C11" s="35">
        <f>IF(SUM(C10)&lt;=0,"",C10-D10-E10)</f>
        <v>74</v>
      </c>
      <c r="D11" s="30">
        <v>5</v>
      </c>
      <c r="E11" s="30">
        <v>7</v>
      </c>
      <c r="F11" s="31">
        <f>IF(SUM(C11)&lt;=0,"",C11-0.5*E11)</f>
        <v>70.5</v>
      </c>
      <c r="G11" s="32">
        <f>IF(SUM(C11)&lt;=0,"",D11/F11)</f>
        <v>0.07092198581560284</v>
      </c>
      <c r="H11" s="32">
        <f>IF(SUM(C11)&lt;=0,"",1-G11)</f>
        <v>0.9290780141843972</v>
      </c>
      <c r="I11" s="33">
        <f>IF(SUM(C11)&lt;=0,"",I10*H11)</f>
        <v>0.7811422909121563</v>
      </c>
      <c r="J11" s="34">
        <f t="shared" si="0"/>
        <v>0.6853663151973706</v>
      </c>
      <c r="K11" s="34">
        <f t="shared" si="1"/>
        <v>0.8539753225011696</v>
      </c>
      <c r="M11" s="7">
        <f t="shared" si="4"/>
        <v>0.0031024497286925926</v>
      </c>
      <c r="N11" s="8">
        <f t="shared" si="2"/>
        <v>90.30814981828154</v>
      </c>
    </row>
    <row r="12" spans="1:14" ht="10.5">
      <c r="A12" s="28">
        <f t="shared" si="3"/>
        <v>4</v>
      </c>
      <c r="B12" s="29"/>
      <c r="C12" s="35">
        <f aca="true" t="shared" si="5" ref="C12:C55">IF(SUM(C11)&lt;=0,"",C11-D11-E11)</f>
        <v>62</v>
      </c>
      <c r="D12" s="30">
        <v>4</v>
      </c>
      <c r="E12" s="30">
        <v>7</v>
      </c>
      <c r="F12" s="31">
        <f aca="true" t="shared" si="6" ref="F12:F55">IF(SUM(C12)&lt;=0,"",C12-0.5*E12)</f>
        <v>58.5</v>
      </c>
      <c r="G12" s="32">
        <f aca="true" t="shared" si="7" ref="G12:G55">IF(SUM(C12)&lt;=0,"",D12/F12)</f>
        <v>0.06837606837606838</v>
      </c>
      <c r="H12" s="32">
        <f aca="true" t="shared" si="8" ref="H12:H55">IF(SUM(C12)&lt;=0,"",1-G12)</f>
        <v>0.9316239316239316</v>
      </c>
      <c r="I12" s="33">
        <f aca="true" t="shared" si="9" ref="I12:I55">IF(SUM(C12)&lt;=0,"",I11*H12)</f>
        <v>0.7277308522173079</v>
      </c>
      <c r="J12" s="34">
        <f t="shared" si="0"/>
        <v>0.625351359357831</v>
      </c>
      <c r="K12" s="34">
        <f t="shared" si="1"/>
        <v>0.8106064156908542</v>
      </c>
      <c r="M12" s="7">
        <f t="shared" si="4"/>
        <v>0.004357056487886508</v>
      </c>
      <c r="N12" s="8">
        <f t="shared" si="2"/>
        <v>85.8686142411455</v>
      </c>
    </row>
    <row r="13" spans="1:14" ht="10.5">
      <c r="A13" s="28">
        <f t="shared" si="3"/>
        <v>5</v>
      </c>
      <c r="B13" s="29"/>
      <c r="C13" s="35">
        <f t="shared" si="5"/>
        <v>51</v>
      </c>
      <c r="D13" s="30">
        <v>5</v>
      </c>
      <c r="E13" s="30">
        <v>2</v>
      </c>
      <c r="F13" s="31">
        <f t="shared" si="6"/>
        <v>50</v>
      </c>
      <c r="G13" s="32">
        <f t="shared" si="7"/>
        <v>0.1</v>
      </c>
      <c r="H13" s="32">
        <f t="shared" si="8"/>
        <v>0.9</v>
      </c>
      <c r="I13" s="33">
        <f t="shared" si="9"/>
        <v>0.6549577669955772</v>
      </c>
      <c r="J13" s="34">
        <f t="shared" si="0"/>
        <v>0.5459021961292727</v>
      </c>
      <c r="K13" s="34">
        <f t="shared" si="1"/>
        <v>0.7498252739578012</v>
      </c>
      <c r="M13" s="7">
        <f t="shared" si="4"/>
        <v>0.00657927871010873</v>
      </c>
      <c r="N13" s="8">
        <f t="shared" si="2"/>
        <v>80.07199972927852</v>
      </c>
    </row>
    <row r="14" spans="1:14" ht="10.5">
      <c r="A14" s="28">
        <f t="shared" si="3"/>
        <v>6</v>
      </c>
      <c r="B14" s="29"/>
      <c r="C14" s="35">
        <f t="shared" si="5"/>
        <v>44</v>
      </c>
      <c r="D14" s="30">
        <v>3</v>
      </c>
      <c r="E14" s="30">
        <v>6</v>
      </c>
      <c r="F14" s="31">
        <f t="shared" si="6"/>
        <v>41</v>
      </c>
      <c r="G14" s="32">
        <f t="shared" si="7"/>
        <v>0.07317073170731707</v>
      </c>
      <c r="H14" s="32">
        <f t="shared" si="8"/>
        <v>0.926829268292683</v>
      </c>
      <c r="I14" s="33">
        <f t="shared" si="9"/>
        <v>0.6070340279471204</v>
      </c>
      <c r="J14" s="34">
        <f t="shared" si="0"/>
        <v>0.4947123694126627</v>
      </c>
      <c r="K14" s="34">
        <f t="shared" si="1"/>
        <v>0.7090707010544779</v>
      </c>
      <c r="M14" s="7">
        <f t="shared" si="4"/>
        <v>0.008504824281353915</v>
      </c>
      <c r="N14" s="8">
        <f t="shared" si="2"/>
        <v>76.11610624588866</v>
      </c>
    </row>
    <row r="15" spans="1:14" ht="10.5">
      <c r="A15" s="28">
        <f t="shared" si="3"/>
        <v>7</v>
      </c>
      <c r="B15" s="29"/>
      <c r="C15" s="35">
        <f t="shared" si="5"/>
        <v>35</v>
      </c>
      <c r="D15" s="30">
        <v>0</v>
      </c>
      <c r="E15" s="30">
        <v>3</v>
      </c>
      <c r="F15" s="31">
        <f t="shared" si="6"/>
        <v>33.5</v>
      </c>
      <c r="G15" s="32">
        <f t="shared" si="7"/>
        <v>0</v>
      </c>
      <c r="H15" s="32">
        <f t="shared" si="8"/>
        <v>1</v>
      </c>
      <c r="I15" s="33">
        <f t="shared" si="9"/>
        <v>0.6070340279471204</v>
      </c>
      <c r="J15" s="34">
        <f t="shared" si="0"/>
        <v>0.4947123694126627</v>
      </c>
      <c r="K15" s="34">
        <f t="shared" si="1"/>
        <v>0.7090707010544779</v>
      </c>
      <c r="M15" s="7">
        <f t="shared" si="4"/>
        <v>0.008504824281353915</v>
      </c>
      <c r="N15" s="8">
        <f t="shared" si="2"/>
        <v>76.11610624588866</v>
      </c>
    </row>
    <row r="16" spans="1:14" ht="10.5">
      <c r="A16" s="28">
        <f t="shared" si="3"/>
        <v>8</v>
      </c>
      <c r="B16" s="29"/>
      <c r="C16" s="35">
        <f t="shared" si="5"/>
        <v>32</v>
      </c>
      <c r="D16" s="30">
        <v>7</v>
      </c>
      <c r="E16" s="30">
        <v>3</v>
      </c>
      <c r="F16" s="31">
        <f t="shared" si="6"/>
        <v>30.5</v>
      </c>
      <c r="G16" s="32">
        <f t="shared" si="7"/>
        <v>0.22950819672131148</v>
      </c>
      <c r="H16" s="32">
        <f t="shared" si="8"/>
        <v>0.7704918032786885</v>
      </c>
      <c r="I16" s="33">
        <f t="shared" si="9"/>
        <v>0.46771474284450254</v>
      </c>
      <c r="J16" s="34">
        <f t="shared" si="0"/>
        <v>0.3493149119169257</v>
      </c>
      <c r="K16" s="34">
        <f t="shared" si="1"/>
        <v>0.5898656556811537</v>
      </c>
      <c r="M16" s="7">
        <f t="shared" si="4"/>
        <v>0.01827113052481398</v>
      </c>
      <c r="N16" s="8">
        <f t="shared" si="2"/>
        <v>62.28707801608094</v>
      </c>
    </row>
    <row r="17" spans="1:14" ht="10.5">
      <c r="A17" s="28">
        <f t="shared" si="3"/>
        <v>9</v>
      </c>
      <c r="B17" s="29"/>
      <c r="C17" s="35">
        <f t="shared" si="5"/>
        <v>22</v>
      </c>
      <c r="D17" s="30">
        <v>5</v>
      </c>
      <c r="E17" s="30">
        <v>4</v>
      </c>
      <c r="F17" s="31">
        <f t="shared" si="6"/>
        <v>20</v>
      </c>
      <c r="G17" s="32">
        <f t="shared" si="7"/>
        <v>0.25</v>
      </c>
      <c r="H17" s="32">
        <f t="shared" si="8"/>
        <v>0.75</v>
      </c>
      <c r="I17" s="33">
        <f t="shared" si="9"/>
        <v>0.3507860571333769</v>
      </c>
      <c r="J17" s="34">
        <f t="shared" si="0"/>
        <v>0.23637411630236926</v>
      </c>
      <c r="K17" s="34">
        <f t="shared" si="1"/>
        <v>0.4853768220877901</v>
      </c>
      <c r="M17" s="7">
        <f t="shared" si="4"/>
        <v>0.03493779719148064</v>
      </c>
      <c r="N17" s="8">
        <f t="shared" si="2"/>
        <v>52.97244222672609</v>
      </c>
    </row>
    <row r="18" spans="1:14" ht="10.5">
      <c r="A18" s="28">
        <f t="shared" si="3"/>
        <v>10</v>
      </c>
      <c r="B18" s="29"/>
      <c r="C18" s="35">
        <f t="shared" si="5"/>
        <v>13</v>
      </c>
      <c r="D18" s="30">
        <v>6</v>
      </c>
      <c r="E18" s="30">
        <v>7</v>
      </c>
      <c r="F18" s="31">
        <f t="shared" si="6"/>
        <v>9.5</v>
      </c>
      <c r="G18" s="32">
        <f t="shared" si="7"/>
        <v>0.631578947368421</v>
      </c>
      <c r="H18" s="32">
        <f t="shared" si="8"/>
        <v>0.368421052631579</v>
      </c>
      <c r="I18" s="33">
        <f t="shared" si="9"/>
        <v>0.1292369684175599</v>
      </c>
      <c r="J18" s="34">
        <f t="shared" si="0"/>
        <v>0.0516665210186176</v>
      </c>
      <c r="K18" s="34">
        <f t="shared" si="1"/>
        <v>0.28791168034619596</v>
      </c>
      <c r="M18" s="7">
        <f t="shared" si="4"/>
        <v>0.21538892501102946</v>
      </c>
      <c r="N18" s="8">
        <f t="shared" si="2"/>
        <v>31.281664365602637</v>
      </c>
    </row>
    <row r="19" spans="1:14" ht="10.5">
      <c r="A19" s="28">
        <f t="shared" si="3"/>
        <v>11</v>
      </c>
      <c r="B19" s="29"/>
      <c r="C19" s="35">
        <f t="shared" si="5"/>
        <v>0</v>
      </c>
      <c r="D19" s="30"/>
      <c r="E19" s="30"/>
      <c r="F19" s="31">
        <f t="shared" si="6"/>
      </c>
      <c r="G19" s="32">
        <f t="shared" si="7"/>
      </c>
      <c r="H19" s="32">
        <f t="shared" si="8"/>
      </c>
      <c r="I19" s="33">
        <f t="shared" si="9"/>
      </c>
      <c r="J19" s="34">
        <f t="shared" si="0"/>
      </c>
      <c r="K19" s="34">
        <f t="shared" si="1"/>
      </c>
      <c r="M19" s="7">
        <f t="shared" si="4"/>
      </c>
      <c r="N19" s="8">
        <f t="shared" si="2"/>
      </c>
    </row>
    <row r="20" spans="1:14" ht="10.5">
      <c r="A20" s="28">
        <f t="shared" si="3"/>
        <v>12</v>
      </c>
      <c r="B20" s="29"/>
      <c r="C20" s="35">
        <f t="shared" si="5"/>
      </c>
      <c r="D20" s="30"/>
      <c r="E20" s="30"/>
      <c r="F20" s="31">
        <f t="shared" si="6"/>
      </c>
      <c r="G20" s="32">
        <f t="shared" si="7"/>
      </c>
      <c r="H20" s="32">
        <f t="shared" si="8"/>
      </c>
      <c r="I20" s="33">
        <f t="shared" si="9"/>
      </c>
      <c r="J20" s="34">
        <f t="shared" si="0"/>
      </c>
      <c r="K20" s="34">
        <f t="shared" si="1"/>
      </c>
      <c r="M20" s="7">
        <f t="shared" si="4"/>
      </c>
      <c r="N20" s="8">
        <f t="shared" si="2"/>
      </c>
    </row>
    <row r="21" spans="1:14" ht="10.5">
      <c r="A21" s="28">
        <f t="shared" si="3"/>
        <v>13</v>
      </c>
      <c r="B21" s="29"/>
      <c r="C21" s="35">
        <f t="shared" si="5"/>
      </c>
      <c r="D21" s="30"/>
      <c r="E21" s="30"/>
      <c r="F21" s="31">
        <f t="shared" si="6"/>
      </c>
      <c r="G21" s="32">
        <f t="shared" si="7"/>
      </c>
      <c r="H21" s="32">
        <f t="shared" si="8"/>
      </c>
      <c r="I21" s="33">
        <f t="shared" si="9"/>
      </c>
      <c r="J21" s="34">
        <f t="shared" si="0"/>
      </c>
      <c r="K21" s="34">
        <f t="shared" si="1"/>
      </c>
      <c r="M21" s="7">
        <f t="shared" si="4"/>
      </c>
      <c r="N21" s="8">
        <f t="shared" si="2"/>
      </c>
    </row>
    <row r="22" spans="1:14" ht="10.5">
      <c r="A22" s="28">
        <f t="shared" si="3"/>
        <v>14</v>
      </c>
      <c r="B22" s="29"/>
      <c r="C22" s="35">
        <f t="shared" si="5"/>
      </c>
      <c r="D22" s="30"/>
      <c r="E22" s="30"/>
      <c r="F22" s="31">
        <f t="shared" si="6"/>
      </c>
      <c r="G22" s="32">
        <f t="shared" si="7"/>
      </c>
      <c r="H22" s="32">
        <f t="shared" si="8"/>
      </c>
      <c r="I22" s="33">
        <f t="shared" si="9"/>
      </c>
      <c r="J22" s="34">
        <f t="shared" si="0"/>
      </c>
      <c r="K22" s="34">
        <f t="shared" si="1"/>
      </c>
      <c r="M22" s="7">
        <f t="shared" si="4"/>
      </c>
      <c r="N22" s="8">
        <f t="shared" si="2"/>
      </c>
    </row>
    <row r="23" spans="1:14" ht="10.5">
      <c r="A23" s="28">
        <f t="shared" si="3"/>
        <v>15</v>
      </c>
      <c r="B23" s="29"/>
      <c r="C23" s="35">
        <f t="shared" si="5"/>
      </c>
      <c r="D23" s="30"/>
      <c r="E23" s="30"/>
      <c r="F23" s="31">
        <f t="shared" si="6"/>
      </c>
      <c r="G23" s="32">
        <f t="shared" si="7"/>
      </c>
      <c r="H23" s="32">
        <f t="shared" si="8"/>
      </c>
      <c r="I23" s="33">
        <f t="shared" si="9"/>
      </c>
      <c r="J23" s="34">
        <f t="shared" si="0"/>
      </c>
      <c r="K23" s="34">
        <f t="shared" si="1"/>
      </c>
      <c r="M23" s="7">
        <f t="shared" si="4"/>
      </c>
      <c r="N23" s="8">
        <f t="shared" si="2"/>
      </c>
    </row>
    <row r="24" spans="1:14" ht="10.5">
      <c r="A24" s="28">
        <f t="shared" si="3"/>
        <v>16</v>
      </c>
      <c r="B24" s="29"/>
      <c r="C24" s="35">
        <f t="shared" si="5"/>
      </c>
      <c r="D24" s="30"/>
      <c r="E24" s="30"/>
      <c r="F24" s="31">
        <f t="shared" si="6"/>
      </c>
      <c r="G24" s="32">
        <f t="shared" si="7"/>
      </c>
      <c r="H24" s="32">
        <f t="shared" si="8"/>
      </c>
      <c r="I24" s="33">
        <f t="shared" si="9"/>
      </c>
      <c r="J24" s="34">
        <f t="shared" si="0"/>
      </c>
      <c r="K24" s="34">
        <f t="shared" si="1"/>
      </c>
      <c r="M24" s="7">
        <f t="shared" si="4"/>
      </c>
      <c r="N24" s="8">
        <f t="shared" si="2"/>
      </c>
    </row>
    <row r="25" spans="1:14" ht="10.5">
      <c r="A25" s="28">
        <f t="shared" si="3"/>
        <v>17</v>
      </c>
      <c r="B25" s="29"/>
      <c r="C25" s="35">
        <f t="shared" si="5"/>
      </c>
      <c r="D25" s="30"/>
      <c r="E25" s="30"/>
      <c r="F25" s="31">
        <f t="shared" si="6"/>
      </c>
      <c r="G25" s="32">
        <f t="shared" si="7"/>
      </c>
      <c r="H25" s="32">
        <f t="shared" si="8"/>
      </c>
      <c r="I25" s="33">
        <f t="shared" si="9"/>
      </c>
      <c r="J25" s="34">
        <f t="shared" si="0"/>
      </c>
      <c r="K25" s="34">
        <f t="shared" si="1"/>
      </c>
      <c r="M25" s="7">
        <f t="shared" si="4"/>
      </c>
      <c r="N25" s="8">
        <f t="shared" si="2"/>
      </c>
    </row>
    <row r="26" spans="1:14" ht="10.5">
      <c r="A26" s="28">
        <f t="shared" si="3"/>
        <v>18</v>
      </c>
      <c r="B26" s="29"/>
      <c r="C26" s="35">
        <f t="shared" si="5"/>
      </c>
      <c r="D26" s="30"/>
      <c r="E26" s="30"/>
      <c r="F26" s="31">
        <f t="shared" si="6"/>
      </c>
      <c r="G26" s="32">
        <f t="shared" si="7"/>
      </c>
      <c r="H26" s="32">
        <f t="shared" si="8"/>
      </c>
      <c r="I26" s="33">
        <f t="shared" si="9"/>
      </c>
      <c r="J26" s="34">
        <f t="shared" si="0"/>
      </c>
      <c r="K26" s="34">
        <f t="shared" si="1"/>
      </c>
      <c r="M26" s="7">
        <f t="shared" si="4"/>
      </c>
      <c r="N26" s="8">
        <f t="shared" si="2"/>
      </c>
    </row>
    <row r="27" spans="1:14" ht="10.5">
      <c r="A27" s="28">
        <f t="shared" si="3"/>
        <v>19</v>
      </c>
      <c r="B27" s="29"/>
      <c r="C27" s="35">
        <f t="shared" si="5"/>
      </c>
      <c r="D27" s="30"/>
      <c r="E27" s="30"/>
      <c r="F27" s="31">
        <f t="shared" si="6"/>
      </c>
      <c r="G27" s="32">
        <f t="shared" si="7"/>
      </c>
      <c r="H27" s="32">
        <f t="shared" si="8"/>
      </c>
      <c r="I27" s="33">
        <f t="shared" si="9"/>
      </c>
      <c r="J27" s="34">
        <f t="shared" si="0"/>
      </c>
      <c r="K27" s="34">
        <f t="shared" si="1"/>
      </c>
      <c r="M27" s="7">
        <f t="shared" si="4"/>
      </c>
      <c r="N27" s="8">
        <f t="shared" si="2"/>
      </c>
    </row>
    <row r="28" spans="1:14" ht="10.5">
      <c r="A28" s="28">
        <f t="shared" si="3"/>
        <v>20</v>
      </c>
      <c r="B28" s="29"/>
      <c r="C28" s="35">
        <f t="shared" si="5"/>
      </c>
      <c r="D28" s="30"/>
      <c r="E28" s="30"/>
      <c r="F28" s="31">
        <f t="shared" si="6"/>
      </c>
      <c r="G28" s="32">
        <f t="shared" si="7"/>
      </c>
      <c r="H28" s="32">
        <f t="shared" si="8"/>
      </c>
      <c r="I28" s="33">
        <f t="shared" si="9"/>
      </c>
      <c r="J28" s="34">
        <f t="shared" si="0"/>
      </c>
      <c r="K28" s="34">
        <f t="shared" si="1"/>
      </c>
      <c r="M28" s="7">
        <f t="shared" si="4"/>
      </c>
      <c r="N28" s="8">
        <f t="shared" si="2"/>
      </c>
    </row>
    <row r="29" spans="1:14" ht="10.5">
      <c r="A29" s="28">
        <f t="shared" si="3"/>
        <v>21</v>
      </c>
      <c r="B29" s="29"/>
      <c r="C29" s="35">
        <f t="shared" si="5"/>
      </c>
      <c r="D29" s="30"/>
      <c r="E29" s="30"/>
      <c r="F29" s="31">
        <f t="shared" si="6"/>
      </c>
      <c r="G29" s="32">
        <f t="shared" si="7"/>
      </c>
      <c r="H29" s="32">
        <f t="shared" si="8"/>
      </c>
      <c r="I29" s="33">
        <f t="shared" si="9"/>
      </c>
      <c r="J29" s="34">
        <f t="shared" si="0"/>
      </c>
      <c r="K29" s="34">
        <f t="shared" si="1"/>
      </c>
      <c r="M29" s="7">
        <f t="shared" si="4"/>
      </c>
      <c r="N29" s="8">
        <f t="shared" si="2"/>
      </c>
    </row>
    <row r="30" spans="1:14" ht="10.5">
      <c r="A30" s="28">
        <f t="shared" si="3"/>
        <v>22</v>
      </c>
      <c r="B30" s="29"/>
      <c r="C30" s="35">
        <f t="shared" si="5"/>
      </c>
      <c r="D30" s="30"/>
      <c r="E30" s="30"/>
      <c r="F30" s="31">
        <f t="shared" si="6"/>
      </c>
      <c r="G30" s="32">
        <f t="shared" si="7"/>
      </c>
      <c r="H30" s="32">
        <f t="shared" si="8"/>
      </c>
      <c r="I30" s="33">
        <f t="shared" si="9"/>
      </c>
      <c r="J30" s="34">
        <f t="shared" si="0"/>
      </c>
      <c r="K30" s="34">
        <f t="shared" si="1"/>
      </c>
      <c r="M30" s="7">
        <f t="shared" si="4"/>
      </c>
      <c r="N30" s="8">
        <f t="shared" si="2"/>
      </c>
    </row>
    <row r="31" spans="1:14" ht="10.5">
      <c r="A31" s="28">
        <f t="shared" si="3"/>
        <v>23</v>
      </c>
      <c r="B31" s="29"/>
      <c r="C31" s="35">
        <f t="shared" si="5"/>
      </c>
      <c r="D31" s="30"/>
      <c r="E31" s="30"/>
      <c r="F31" s="31">
        <f t="shared" si="6"/>
      </c>
      <c r="G31" s="32">
        <f t="shared" si="7"/>
      </c>
      <c r="H31" s="32">
        <f t="shared" si="8"/>
      </c>
      <c r="I31" s="33">
        <f t="shared" si="9"/>
      </c>
      <c r="J31" s="34">
        <f t="shared" si="0"/>
      </c>
      <c r="K31" s="34">
        <f t="shared" si="1"/>
      </c>
      <c r="M31" s="7">
        <f t="shared" si="4"/>
      </c>
      <c r="N31" s="8">
        <f t="shared" si="2"/>
      </c>
    </row>
    <row r="32" spans="1:14" ht="10.5">
      <c r="A32" s="28">
        <f t="shared" si="3"/>
        <v>24</v>
      </c>
      <c r="B32" s="29"/>
      <c r="C32" s="35">
        <f t="shared" si="5"/>
      </c>
      <c r="D32" s="30"/>
      <c r="E32" s="30"/>
      <c r="F32" s="31">
        <f t="shared" si="6"/>
      </c>
      <c r="G32" s="32">
        <f t="shared" si="7"/>
      </c>
      <c r="H32" s="32">
        <f t="shared" si="8"/>
      </c>
      <c r="I32" s="33">
        <f t="shared" si="9"/>
      </c>
      <c r="J32" s="34">
        <f t="shared" si="0"/>
      </c>
      <c r="K32" s="34">
        <f t="shared" si="1"/>
      </c>
      <c r="M32" s="7">
        <f t="shared" si="4"/>
      </c>
      <c r="N32" s="8">
        <f t="shared" si="2"/>
      </c>
    </row>
    <row r="33" spans="1:14" ht="10.5">
      <c r="A33" s="28">
        <f t="shared" si="3"/>
        <v>25</v>
      </c>
      <c r="B33" s="29"/>
      <c r="C33" s="35">
        <f t="shared" si="5"/>
      </c>
      <c r="D33" s="30"/>
      <c r="E33" s="30"/>
      <c r="F33" s="31">
        <f t="shared" si="6"/>
      </c>
      <c r="G33" s="32">
        <f t="shared" si="7"/>
      </c>
      <c r="H33" s="32">
        <f t="shared" si="8"/>
      </c>
      <c r="I33" s="33">
        <f t="shared" si="9"/>
      </c>
      <c r="J33" s="34">
        <f t="shared" si="0"/>
      </c>
      <c r="K33" s="34">
        <f t="shared" si="1"/>
      </c>
      <c r="M33" s="7">
        <f t="shared" si="4"/>
      </c>
      <c r="N33" s="8">
        <f t="shared" si="2"/>
      </c>
    </row>
    <row r="34" spans="1:14" ht="10.5">
      <c r="A34" s="28">
        <f t="shared" si="3"/>
        <v>26</v>
      </c>
      <c r="B34" s="29"/>
      <c r="C34" s="35">
        <f t="shared" si="5"/>
      </c>
      <c r="D34" s="30"/>
      <c r="E34" s="30"/>
      <c r="F34" s="31">
        <f t="shared" si="6"/>
      </c>
      <c r="G34" s="32">
        <f t="shared" si="7"/>
      </c>
      <c r="H34" s="32">
        <f t="shared" si="8"/>
      </c>
      <c r="I34" s="33">
        <f t="shared" si="9"/>
      </c>
      <c r="J34" s="34">
        <f t="shared" si="0"/>
      </c>
      <c r="K34" s="34">
        <f t="shared" si="1"/>
      </c>
      <c r="M34" s="7">
        <f t="shared" si="4"/>
      </c>
      <c r="N34" s="8">
        <f t="shared" si="2"/>
      </c>
    </row>
    <row r="35" spans="1:14" ht="10.5">
      <c r="A35" s="28">
        <f t="shared" si="3"/>
        <v>27</v>
      </c>
      <c r="B35" s="29"/>
      <c r="C35" s="35">
        <f t="shared" si="5"/>
      </c>
      <c r="D35" s="30"/>
      <c r="E35" s="30"/>
      <c r="F35" s="31">
        <f t="shared" si="6"/>
      </c>
      <c r="G35" s="32">
        <f t="shared" si="7"/>
      </c>
      <c r="H35" s="32">
        <f t="shared" si="8"/>
      </c>
      <c r="I35" s="33">
        <f t="shared" si="9"/>
      </c>
      <c r="J35" s="34">
        <f t="shared" si="0"/>
      </c>
      <c r="K35" s="34">
        <f t="shared" si="1"/>
      </c>
      <c r="M35" s="7">
        <f t="shared" si="4"/>
      </c>
      <c r="N35" s="8">
        <f t="shared" si="2"/>
      </c>
    </row>
    <row r="36" spans="1:14" ht="10.5">
      <c r="A36" s="28">
        <f t="shared" si="3"/>
        <v>28</v>
      </c>
      <c r="B36" s="29"/>
      <c r="C36" s="35">
        <f t="shared" si="5"/>
      </c>
      <c r="D36" s="30"/>
      <c r="E36" s="30"/>
      <c r="F36" s="31">
        <f t="shared" si="6"/>
      </c>
      <c r="G36" s="32">
        <f t="shared" si="7"/>
      </c>
      <c r="H36" s="32">
        <f t="shared" si="8"/>
      </c>
      <c r="I36" s="33">
        <f t="shared" si="9"/>
      </c>
      <c r="J36" s="34">
        <f t="shared" si="0"/>
      </c>
      <c r="K36" s="34">
        <f t="shared" si="1"/>
      </c>
      <c r="M36" s="7">
        <f t="shared" si="4"/>
      </c>
      <c r="N36" s="8">
        <f t="shared" si="2"/>
      </c>
    </row>
    <row r="37" spans="1:14" ht="10.5">
      <c r="A37" s="28">
        <f t="shared" si="3"/>
        <v>29</v>
      </c>
      <c r="B37" s="29"/>
      <c r="C37" s="35">
        <f t="shared" si="5"/>
      </c>
      <c r="D37" s="30"/>
      <c r="E37" s="30"/>
      <c r="F37" s="31">
        <f t="shared" si="6"/>
      </c>
      <c r="G37" s="32">
        <f t="shared" si="7"/>
      </c>
      <c r="H37" s="32">
        <f t="shared" si="8"/>
      </c>
      <c r="I37" s="33">
        <f t="shared" si="9"/>
      </c>
      <c r="J37" s="34">
        <f t="shared" si="0"/>
      </c>
      <c r="K37" s="34">
        <f t="shared" si="1"/>
      </c>
      <c r="M37" s="7">
        <f t="shared" si="4"/>
      </c>
      <c r="N37" s="8">
        <f t="shared" si="2"/>
      </c>
    </row>
    <row r="38" spans="1:14" ht="10.5">
      <c r="A38" s="28">
        <f t="shared" si="3"/>
        <v>30</v>
      </c>
      <c r="B38" s="29"/>
      <c r="C38" s="35">
        <f t="shared" si="5"/>
      </c>
      <c r="D38" s="30"/>
      <c r="E38" s="30"/>
      <c r="F38" s="31">
        <f t="shared" si="6"/>
      </c>
      <c r="G38" s="32">
        <f t="shared" si="7"/>
      </c>
      <c r="H38" s="32">
        <f t="shared" si="8"/>
      </c>
      <c r="I38" s="33">
        <f t="shared" si="9"/>
      </c>
      <c r="J38" s="34">
        <f t="shared" si="0"/>
      </c>
      <c r="K38" s="34">
        <f t="shared" si="1"/>
      </c>
      <c r="M38" s="7">
        <f t="shared" si="4"/>
      </c>
      <c r="N38" s="8">
        <f t="shared" si="2"/>
      </c>
    </row>
    <row r="39" spans="1:14" ht="10.5">
      <c r="A39" s="28">
        <f t="shared" si="3"/>
        <v>31</v>
      </c>
      <c r="B39" s="29"/>
      <c r="C39" s="35">
        <f t="shared" si="5"/>
      </c>
      <c r="D39" s="30"/>
      <c r="E39" s="30"/>
      <c r="F39" s="31">
        <f t="shared" si="6"/>
      </c>
      <c r="G39" s="32">
        <f t="shared" si="7"/>
      </c>
      <c r="H39" s="32">
        <f t="shared" si="8"/>
      </c>
      <c r="I39" s="33">
        <f t="shared" si="9"/>
      </c>
      <c r="J39" s="34">
        <f t="shared" si="0"/>
      </c>
      <c r="K39" s="34">
        <f t="shared" si="1"/>
      </c>
      <c r="M39" s="7">
        <f t="shared" si="4"/>
      </c>
      <c r="N39" s="8">
        <f t="shared" si="2"/>
      </c>
    </row>
    <row r="40" spans="1:14" ht="10.5">
      <c r="A40" s="28">
        <f t="shared" si="3"/>
        <v>32</v>
      </c>
      <c r="B40" s="29"/>
      <c r="C40" s="35">
        <f t="shared" si="5"/>
      </c>
      <c r="D40" s="30"/>
      <c r="E40" s="30"/>
      <c r="F40" s="31">
        <f t="shared" si="6"/>
      </c>
      <c r="G40" s="32">
        <f t="shared" si="7"/>
      </c>
      <c r="H40" s="32">
        <f t="shared" si="8"/>
      </c>
      <c r="I40" s="33">
        <f t="shared" si="9"/>
      </c>
      <c r="J40" s="34">
        <f t="shared" si="0"/>
      </c>
      <c r="K40" s="34">
        <f t="shared" si="1"/>
      </c>
      <c r="M40" s="7">
        <f t="shared" si="4"/>
      </c>
      <c r="N40" s="8">
        <f t="shared" si="2"/>
      </c>
    </row>
    <row r="41" spans="1:14" ht="10.5">
      <c r="A41" s="28">
        <f t="shared" si="3"/>
        <v>33</v>
      </c>
      <c r="B41" s="29"/>
      <c r="C41" s="35">
        <f t="shared" si="5"/>
      </c>
      <c r="D41" s="30"/>
      <c r="E41" s="30"/>
      <c r="F41" s="31">
        <f t="shared" si="6"/>
      </c>
      <c r="G41" s="32">
        <f t="shared" si="7"/>
      </c>
      <c r="H41" s="32">
        <f t="shared" si="8"/>
      </c>
      <c r="I41" s="33">
        <f t="shared" si="9"/>
      </c>
      <c r="J41" s="34">
        <f t="shared" si="0"/>
      </c>
      <c r="K41" s="34">
        <f t="shared" si="1"/>
      </c>
      <c r="M41" s="7">
        <f t="shared" si="4"/>
      </c>
      <c r="N41" s="8">
        <f t="shared" si="2"/>
      </c>
    </row>
    <row r="42" spans="1:14" ht="10.5">
      <c r="A42" s="28">
        <f t="shared" si="3"/>
        <v>34</v>
      </c>
      <c r="B42" s="29"/>
      <c r="C42" s="35">
        <f t="shared" si="5"/>
      </c>
      <c r="D42" s="30"/>
      <c r="E42" s="30"/>
      <c r="F42" s="31">
        <f t="shared" si="6"/>
      </c>
      <c r="G42" s="32">
        <f t="shared" si="7"/>
      </c>
      <c r="H42" s="32">
        <f t="shared" si="8"/>
      </c>
      <c r="I42" s="33">
        <f t="shared" si="9"/>
      </c>
      <c r="J42" s="34">
        <f t="shared" si="0"/>
      </c>
      <c r="K42" s="34">
        <f t="shared" si="1"/>
      </c>
      <c r="M42" s="7">
        <f t="shared" si="4"/>
      </c>
      <c r="N42" s="8">
        <f t="shared" si="2"/>
      </c>
    </row>
    <row r="43" spans="1:14" ht="10.5">
      <c r="A43" s="28">
        <f t="shared" si="3"/>
        <v>35</v>
      </c>
      <c r="B43" s="29"/>
      <c r="C43" s="35">
        <f t="shared" si="5"/>
      </c>
      <c r="D43" s="30"/>
      <c r="E43" s="30"/>
      <c r="F43" s="31">
        <f t="shared" si="6"/>
      </c>
      <c r="G43" s="32">
        <f t="shared" si="7"/>
      </c>
      <c r="H43" s="32">
        <f t="shared" si="8"/>
      </c>
      <c r="I43" s="33">
        <f t="shared" si="9"/>
      </c>
      <c r="J43" s="34">
        <f t="shared" si="0"/>
      </c>
      <c r="K43" s="34">
        <f t="shared" si="1"/>
      </c>
      <c r="M43" s="7">
        <f t="shared" si="4"/>
      </c>
      <c r="N43" s="8">
        <f t="shared" si="2"/>
      </c>
    </row>
    <row r="44" spans="1:14" ht="10.5">
      <c r="A44" s="28">
        <f t="shared" si="3"/>
        <v>36</v>
      </c>
      <c r="B44" s="29"/>
      <c r="C44" s="35">
        <f t="shared" si="5"/>
      </c>
      <c r="D44" s="30"/>
      <c r="E44" s="30"/>
      <c r="F44" s="31">
        <f t="shared" si="6"/>
      </c>
      <c r="G44" s="32">
        <f t="shared" si="7"/>
      </c>
      <c r="H44" s="32">
        <f t="shared" si="8"/>
      </c>
      <c r="I44" s="33">
        <f t="shared" si="9"/>
      </c>
      <c r="J44" s="34">
        <f t="shared" si="0"/>
      </c>
      <c r="K44" s="34">
        <f t="shared" si="1"/>
      </c>
      <c r="M44" s="7">
        <f t="shared" si="4"/>
      </c>
      <c r="N44" s="8">
        <f t="shared" si="2"/>
      </c>
    </row>
    <row r="45" spans="1:14" ht="10.5">
      <c r="A45" s="28">
        <f t="shared" si="3"/>
        <v>37</v>
      </c>
      <c r="B45" s="29"/>
      <c r="C45" s="35">
        <f t="shared" si="5"/>
      </c>
      <c r="D45" s="30"/>
      <c r="E45" s="30"/>
      <c r="F45" s="31">
        <f t="shared" si="6"/>
      </c>
      <c r="G45" s="32">
        <f t="shared" si="7"/>
      </c>
      <c r="H45" s="32">
        <f t="shared" si="8"/>
      </c>
      <c r="I45" s="33">
        <f t="shared" si="9"/>
      </c>
      <c r="J45" s="34">
        <f t="shared" si="0"/>
      </c>
      <c r="K45" s="34">
        <f t="shared" si="1"/>
      </c>
      <c r="M45" s="7">
        <f t="shared" si="4"/>
      </c>
      <c r="N45" s="8">
        <f t="shared" si="2"/>
      </c>
    </row>
    <row r="46" spans="1:14" ht="10.5">
      <c r="A46" s="28">
        <f t="shared" si="3"/>
        <v>38</v>
      </c>
      <c r="B46" s="29"/>
      <c r="C46" s="35">
        <f t="shared" si="5"/>
      </c>
      <c r="D46" s="30"/>
      <c r="E46" s="30"/>
      <c r="F46" s="31">
        <f t="shared" si="6"/>
      </c>
      <c r="G46" s="32">
        <f t="shared" si="7"/>
      </c>
      <c r="H46" s="32">
        <f t="shared" si="8"/>
      </c>
      <c r="I46" s="33">
        <f t="shared" si="9"/>
      </c>
      <c r="J46" s="34">
        <f t="shared" si="0"/>
      </c>
      <c r="K46" s="34">
        <f t="shared" si="1"/>
      </c>
      <c r="M46" s="7">
        <f t="shared" si="4"/>
      </c>
      <c r="N46" s="8">
        <f t="shared" si="2"/>
      </c>
    </row>
    <row r="47" spans="1:14" ht="10.5">
      <c r="A47" s="28">
        <f t="shared" si="3"/>
        <v>39</v>
      </c>
      <c r="B47" s="29"/>
      <c r="C47" s="35">
        <f t="shared" si="5"/>
      </c>
      <c r="D47" s="30"/>
      <c r="E47" s="30"/>
      <c r="F47" s="31">
        <f t="shared" si="6"/>
      </c>
      <c r="G47" s="32">
        <f t="shared" si="7"/>
      </c>
      <c r="H47" s="32">
        <f t="shared" si="8"/>
      </c>
      <c r="I47" s="33">
        <f t="shared" si="9"/>
      </c>
      <c r="J47" s="34">
        <f t="shared" si="0"/>
      </c>
      <c r="K47" s="34">
        <f t="shared" si="1"/>
      </c>
      <c r="M47" s="7">
        <f t="shared" si="4"/>
      </c>
      <c r="N47" s="8">
        <f t="shared" si="2"/>
      </c>
    </row>
    <row r="48" spans="1:14" ht="10.5">
      <c r="A48" s="28">
        <f t="shared" si="3"/>
        <v>40</v>
      </c>
      <c r="B48" s="29"/>
      <c r="C48" s="35">
        <f t="shared" si="5"/>
      </c>
      <c r="D48" s="30"/>
      <c r="E48" s="30"/>
      <c r="F48" s="31">
        <f t="shared" si="6"/>
      </c>
      <c r="G48" s="32">
        <f t="shared" si="7"/>
      </c>
      <c r="H48" s="32">
        <f t="shared" si="8"/>
      </c>
      <c r="I48" s="33">
        <f t="shared" si="9"/>
      </c>
      <c r="J48" s="34">
        <f t="shared" si="0"/>
      </c>
      <c r="K48" s="34">
        <f t="shared" si="1"/>
      </c>
      <c r="M48" s="7">
        <f t="shared" si="4"/>
      </c>
      <c r="N48" s="8">
        <f t="shared" si="2"/>
      </c>
    </row>
    <row r="49" spans="1:14" ht="10.5">
      <c r="A49" s="28">
        <f t="shared" si="3"/>
        <v>41</v>
      </c>
      <c r="B49" s="29"/>
      <c r="C49" s="35">
        <f t="shared" si="5"/>
      </c>
      <c r="D49" s="30"/>
      <c r="E49" s="30"/>
      <c r="F49" s="31">
        <f t="shared" si="6"/>
      </c>
      <c r="G49" s="32">
        <f t="shared" si="7"/>
      </c>
      <c r="H49" s="32">
        <f t="shared" si="8"/>
      </c>
      <c r="I49" s="33">
        <f t="shared" si="9"/>
      </c>
      <c r="J49" s="34">
        <f t="shared" si="0"/>
      </c>
      <c r="K49" s="34">
        <f t="shared" si="1"/>
      </c>
      <c r="M49" s="7">
        <f t="shared" si="4"/>
      </c>
      <c r="N49" s="8">
        <f t="shared" si="2"/>
      </c>
    </row>
    <row r="50" spans="1:14" ht="10.5">
      <c r="A50" s="28">
        <f t="shared" si="3"/>
        <v>42</v>
      </c>
      <c r="B50" s="29"/>
      <c r="C50" s="35">
        <f t="shared" si="5"/>
      </c>
      <c r="D50" s="30"/>
      <c r="E50" s="30"/>
      <c r="F50" s="31">
        <f t="shared" si="6"/>
      </c>
      <c r="G50" s="32">
        <f t="shared" si="7"/>
      </c>
      <c r="H50" s="32">
        <f t="shared" si="8"/>
      </c>
      <c r="I50" s="33">
        <f t="shared" si="9"/>
      </c>
      <c r="J50" s="34">
        <f t="shared" si="0"/>
      </c>
      <c r="K50" s="34">
        <f t="shared" si="1"/>
      </c>
      <c r="M50" s="7">
        <f t="shared" si="4"/>
      </c>
      <c r="N50" s="8">
        <f t="shared" si="2"/>
      </c>
    </row>
    <row r="51" spans="1:14" ht="10.5">
      <c r="A51" s="28">
        <f t="shared" si="3"/>
        <v>43</v>
      </c>
      <c r="B51" s="29"/>
      <c r="C51" s="35">
        <f t="shared" si="5"/>
      </c>
      <c r="D51" s="30"/>
      <c r="E51" s="30"/>
      <c r="F51" s="31">
        <f t="shared" si="6"/>
      </c>
      <c r="G51" s="32">
        <f t="shared" si="7"/>
      </c>
      <c r="H51" s="32">
        <f t="shared" si="8"/>
      </c>
      <c r="I51" s="33">
        <f t="shared" si="9"/>
      </c>
      <c r="J51" s="34">
        <f t="shared" si="0"/>
      </c>
      <c r="K51" s="34">
        <f t="shared" si="1"/>
      </c>
      <c r="M51" s="7">
        <f t="shared" si="4"/>
      </c>
      <c r="N51" s="8">
        <f t="shared" si="2"/>
      </c>
    </row>
    <row r="52" spans="1:14" ht="10.5">
      <c r="A52" s="28">
        <f t="shared" si="3"/>
        <v>44</v>
      </c>
      <c r="B52" s="29"/>
      <c r="C52" s="35">
        <f t="shared" si="5"/>
      </c>
      <c r="D52" s="30"/>
      <c r="E52" s="30"/>
      <c r="F52" s="31">
        <f t="shared" si="6"/>
      </c>
      <c r="G52" s="32">
        <f t="shared" si="7"/>
      </c>
      <c r="H52" s="32">
        <f t="shared" si="8"/>
      </c>
      <c r="I52" s="33">
        <f t="shared" si="9"/>
      </c>
      <c r="J52" s="34">
        <f t="shared" si="0"/>
      </c>
      <c r="K52" s="34">
        <f t="shared" si="1"/>
      </c>
      <c r="M52" s="7">
        <f t="shared" si="4"/>
      </c>
      <c r="N52" s="8">
        <f t="shared" si="2"/>
      </c>
    </row>
    <row r="53" spans="1:14" ht="10.5">
      <c r="A53" s="28">
        <f t="shared" si="3"/>
        <v>45</v>
      </c>
      <c r="B53" s="29"/>
      <c r="C53" s="35">
        <f t="shared" si="5"/>
      </c>
      <c r="D53" s="30"/>
      <c r="E53" s="30"/>
      <c r="F53" s="31">
        <f t="shared" si="6"/>
      </c>
      <c r="G53" s="32">
        <f t="shared" si="7"/>
      </c>
      <c r="H53" s="32">
        <f t="shared" si="8"/>
      </c>
      <c r="I53" s="33">
        <f t="shared" si="9"/>
      </c>
      <c r="J53" s="34">
        <f t="shared" si="0"/>
      </c>
      <c r="K53" s="34">
        <f t="shared" si="1"/>
      </c>
      <c r="M53" s="7">
        <f t="shared" si="4"/>
      </c>
      <c r="N53" s="8">
        <f t="shared" si="2"/>
      </c>
    </row>
    <row r="54" spans="1:14" ht="10.5">
      <c r="A54" s="28">
        <f t="shared" si="3"/>
        <v>46</v>
      </c>
      <c r="B54" s="29"/>
      <c r="C54" s="35">
        <f t="shared" si="5"/>
      </c>
      <c r="D54" s="30"/>
      <c r="E54" s="30"/>
      <c r="F54" s="31">
        <f t="shared" si="6"/>
      </c>
      <c r="G54" s="32">
        <f t="shared" si="7"/>
      </c>
      <c r="H54" s="32">
        <f t="shared" si="8"/>
      </c>
      <c r="I54" s="33">
        <f t="shared" si="9"/>
      </c>
      <c r="J54" s="34">
        <f t="shared" si="0"/>
      </c>
      <c r="K54" s="34">
        <f t="shared" si="1"/>
      </c>
      <c r="M54" s="7">
        <f t="shared" si="4"/>
      </c>
      <c r="N54" s="8">
        <f t="shared" si="2"/>
      </c>
    </row>
    <row r="55" spans="1:14" ht="10.5">
      <c r="A55" s="28">
        <f t="shared" si="3"/>
        <v>47</v>
      </c>
      <c r="B55" s="29"/>
      <c r="C55" s="35">
        <f t="shared" si="5"/>
      </c>
      <c r="D55" s="30"/>
      <c r="E55" s="30"/>
      <c r="F55" s="31">
        <f t="shared" si="6"/>
      </c>
      <c r="G55" s="32">
        <f t="shared" si="7"/>
      </c>
      <c r="H55" s="32">
        <f t="shared" si="8"/>
      </c>
      <c r="I55" s="33">
        <f t="shared" si="9"/>
      </c>
      <c r="J55" s="34">
        <f t="shared" si="0"/>
      </c>
      <c r="K55" s="34">
        <f t="shared" si="1"/>
      </c>
      <c r="M55" s="7">
        <f t="shared" si="4"/>
      </c>
      <c r="N55" s="8">
        <f t="shared" si="2"/>
      </c>
    </row>
    <row r="56" spans="1:12" ht="12.75">
      <c r="A56" s="6"/>
      <c r="B56" s="6"/>
      <c r="C56" s="9"/>
      <c r="D56" s="9"/>
      <c r="E56" s="9"/>
      <c r="F56" s="9"/>
      <c r="G56" s="9"/>
      <c r="H56" s="9"/>
      <c r="I56" s="9"/>
      <c r="J56" s="9"/>
      <c r="K56" s="9"/>
      <c r="L56" s="9"/>
    </row>
    <row r="57" spans="1:68" ht="12.75">
      <c r="A57" s="10"/>
      <c r="B57" s="10"/>
      <c r="C57" s="10"/>
      <c r="D57" s="11"/>
      <c r="E57" s="11"/>
      <c r="F57" s="11"/>
      <c r="G57" s="11"/>
      <c r="H57" s="11"/>
      <c r="I57" s="11"/>
      <c r="J57" s="11"/>
      <c r="K57" s="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11" ht="11.25" customHeight="1">
      <c r="A58" s="10"/>
      <c r="B58" s="10"/>
      <c r="C58" s="10"/>
      <c r="D58" s="13"/>
      <c r="E58" s="13"/>
      <c r="F58" s="13"/>
      <c r="G58" s="13"/>
      <c r="H58" s="13"/>
      <c r="I58" s="13"/>
      <c r="J58" s="13"/>
      <c r="K58" s="13"/>
    </row>
    <row r="59" spans="1:11" ht="11.25" customHeight="1">
      <c r="A59" s="14"/>
      <c r="B59" s="14"/>
      <c r="C59" s="14"/>
      <c r="D59" s="13"/>
      <c r="E59" s="13"/>
      <c r="F59" s="13"/>
      <c r="G59" s="13"/>
      <c r="H59" s="13"/>
      <c r="I59" s="13"/>
      <c r="J59" s="13"/>
      <c r="K59" s="13"/>
    </row>
    <row r="60" spans="1:11" ht="11.25" customHeight="1">
      <c r="A60" s="13"/>
      <c r="B60" s="13"/>
      <c r="C60" s="13"/>
      <c r="D60" s="13"/>
      <c r="E60" s="13"/>
      <c r="F60" s="13"/>
      <c r="G60" s="13"/>
      <c r="H60" s="13"/>
      <c r="I60" s="13"/>
      <c r="J60" s="13"/>
      <c r="K60" s="13"/>
    </row>
    <row r="61" spans="1:11" ht="11.25" customHeight="1">
      <c r="A61" s="13"/>
      <c r="B61" s="13"/>
      <c r="C61" s="13"/>
      <c r="D61" s="13"/>
      <c r="E61" s="13"/>
      <c r="F61" s="13"/>
      <c r="G61" s="13"/>
      <c r="H61" s="13"/>
      <c r="I61" s="13"/>
      <c r="J61" s="13"/>
      <c r="K61" s="13"/>
    </row>
    <row r="62" spans="1:11" ht="11.25" customHeight="1">
      <c r="A62" s="13"/>
      <c r="B62" s="13"/>
      <c r="C62" s="13"/>
      <c r="D62" s="13"/>
      <c r="E62" s="13"/>
      <c r="F62" s="13"/>
      <c r="G62" s="13"/>
      <c r="H62" s="13"/>
      <c r="I62" s="13"/>
      <c r="J62" s="13"/>
      <c r="K62" s="13"/>
    </row>
    <row r="63" spans="1:11" ht="11.25" customHeight="1">
      <c r="A63" s="13"/>
      <c r="B63" s="13"/>
      <c r="C63" s="13"/>
      <c r="D63" s="13"/>
      <c r="E63" s="13"/>
      <c r="F63" s="13"/>
      <c r="G63" s="13"/>
      <c r="H63" s="13"/>
      <c r="I63" s="13"/>
      <c r="J63" s="13"/>
      <c r="K63" s="13"/>
    </row>
    <row r="64" spans="1:11" ht="11.25" customHeight="1">
      <c r="A64" s="13"/>
      <c r="B64" s="13"/>
      <c r="C64" s="13"/>
      <c r="D64" s="13"/>
      <c r="E64" s="13"/>
      <c r="F64" s="13"/>
      <c r="G64" s="13"/>
      <c r="H64" s="13"/>
      <c r="I64" s="13"/>
      <c r="J64" s="13"/>
      <c r="K64" s="13"/>
    </row>
    <row r="65" spans="1:11" ht="11.25" customHeight="1">
      <c r="A65" s="13"/>
      <c r="B65" s="13"/>
      <c r="C65" s="13"/>
      <c r="D65" s="13"/>
      <c r="E65" s="13"/>
      <c r="F65" s="13"/>
      <c r="G65" s="13"/>
      <c r="H65" s="13"/>
      <c r="I65" s="13"/>
      <c r="J65" s="13"/>
      <c r="K65" s="13"/>
    </row>
    <row r="66" spans="1:11" ht="11.25" customHeight="1">
      <c r="A66" s="13"/>
      <c r="B66" s="13"/>
      <c r="C66" s="13"/>
      <c r="D66" s="13"/>
      <c r="E66" s="13"/>
      <c r="F66" s="13"/>
      <c r="G66" s="13"/>
      <c r="H66" s="13"/>
      <c r="I66" s="13"/>
      <c r="J66" s="13"/>
      <c r="K66" s="13"/>
    </row>
    <row r="67" spans="1:11" ht="11.25" customHeight="1">
      <c r="A67" s="13"/>
      <c r="B67" s="13"/>
      <c r="C67" s="13"/>
      <c r="D67" s="13"/>
      <c r="E67" s="13"/>
      <c r="F67" s="13"/>
      <c r="G67" s="13"/>
      <c r="H67" s="13"/>
      <c r="I67" s="13"/>
      <c r="J67" s="13"/>
      <c r="K67" s="13"/>
    </row>
    <row r="68" spans="1:11" ht="11.25" customHeight="1">
      <c r="A68" s="13"/>
      <c r="B68" s="13"/>
      <c r="C68" s="13"/>
      <c r="D68" s="13"/>
      <c r="E68" s="13"/>
      <c r="F68" s="13"/>
      <c r="G68" s="13"/>
      <c r="H68" s="13"/>
      <c r="I68" s="13"/>
      <c r="J68" s="13"/>
      <c r="K68" s="13"/>
    </row>
    <row r="69" spans="1:11" ht="11.25" customHeight="1">
      <c r="A69" s="13"/>
      <c r="B69" s="13"/>
      <c r="C69" s="13"/>
      <c r="D69" s="13"/>
      <c r="E69" s="13"/>
      <c r="F69" s="13"/>
      <c r="G69" s="13"/>
      <c r="H69" s="13"/>
      <c r="I69" s="13"/>
      <c r="J69" s="13"/>
      <c r="K69" s="13"/>
    </row>
    <row r="70" spans="1:11" ht="11.25" customHeight="1">
      <c r="A70" s="13"/>
      <c r="B70" s="13"/>
      <c r="C70" s="13"/>
      <c r="D70" s="13"/>
      <c r="E70" s="13"/>
      <c r="F70" s="13"/>
      <c r="G70" s="13"/>
      <c r="H70" s="13"/>
      <c r="I70" s="13"/>
      <c r="J70" s="13"/>
      <c r="K70" s="13"/>
    </row>
    <row r="71" spans="1:11" ht="11.25" customHeight="1">
      <c r="A71" s="13"/>
      <c r="B71" s="13"/>
      <c r="C71" s="13"/>
      <c r="D71" s="13"/>
      <c r="E71" s="13"/>
      <c r="F71" s="13"/>
      <c r="G71" s="13"/>
      <c r="H71" s="13"/>
      <c r="I71" s="13"/>
      <c r="J71" s="13"/>
      <c r="K71" s="13"/>
    </row>
    <row r="72" spans="1:11" ht="11.25" customHeight="1">
      <c r="A72" s="13"/>
      <c r="B72" s="13"/>
      <c r="C72" s="13"/>
      <c r="D72" s="13"/>
      <c r="E72" s="13"/>
      <c r="F72" s="13"/>
      <c r="G72" s="13"/>
      <c r="H72" s="13"/>
      <c r="I72" s="13"/>
      <c r="J72" s="13"/>
      <c r="K72" s="13"/>
    </row>
    <row r="73" spans="1:11" ht="11.25" customHeight="1">
      <c r="A73" s="13"/>
      <c r="B73" s="13"/>
      <c r="C73" s="13"/>
      <c r="D73" s="13"/>
      <c r="E73" s="13"/>
      <c r="F73" s="13"/>
      <c r="G73" s="13"/>
      <c r="H73" s="13"/>
      <c r="I73" s="13"/>
      <c r="J73" s="13"/>
      <c r="K73" s="13"/>
    </row>
    <row r="74" spans="1:11" ht="11.25" customHeight="1">
      <c r="A74" s="13"/>
      <c r="B74" s="13"/>
      <c r="C74" s="13"/>
      <c r="D74" s="13"/>
      <c r="E74" s="13"/>
      <c r="F74" s="13"/>
      <c r="G74" s="13"/>
      <c r="H74" s="13"/>
      <c r="I74" s="13"/>
      <c r="J74" s="13"/>
      <c r="K74" s="13"/>
    </row>
    <row r="75" spans="1:11" ht="11.25" customHeight="1">
      <c r="A75" s="13"/>
      <c r="B75" s="13"/>
      <c r="C75" s="13"/>
      <c r="D75" s="13"/>
      <c r="E75" s="13"/>
      <c r="F75" s="13"/>
      <c r="G75" s="13"/>
      <c r="H75" s="13"/>
      <c r="I75" s="13"/>
      <c r="J75" s="13"/>
      <c r="K75" s="13"/>
    </row>
    <row r="76" spans="1:11" ht="11.25" customHeight="1">
      <c r="A76" s="13"/>
      <c r="B76" s="13"/>
      <c r="C76" s="13"/>
      <c r="D76" s="13"/>
      <c r="E76" s="13"/>
      <c r="F76" s="13"/>
      <c r="G76" s="13"/>
      <c r="H76" s="13"/>
      <c r="I76" s="13"/>
      <c r="J76" s="13"/>
      <c r="K76" s="13"/>
    </row>
    <row r="77" spans="1:11" ht="11.25" customHeight="1">
      <c r="A77" s="13"/>
      <c r="B77" s="13"/>
      <c r="C77" s="13"/>
      <c r="D77" s="13"/>
      <c r="E77" s="13"/>
      <c r="F77" s="13"/>
      <c r="G77" s="13"/>
      <c r="H77" s="13"/>
      <c r="I77" s="13"/>
      <c r="J77" s="13"/>
      <c r="K77" s="13"/>
    </row>
    <row r="78" spans="1:11" ht="11.25" customHeight="1">
      <c r="A78" s="13"/>
      <c r="B78" s="13"/>
      <c r="C78" s="13"/>
      <c r="D78" s="13"/>
      <c r="E78" s="13"/>
      <c r="F78" s="13"/>
      <c r="G78" s="13"/>
      <c r="H78" s="13"/>
      <c r="I78" s="13"/>
      <c r="J78" s="13"/>
      <c r="K78" s="13"/>
    </row>
    <row r="79" spans="1:11" ht="11.25" customHeight="1">
      <c r="A79" s="13"/>
      <c r="B79" s="13"/>
      <c r="C79" s="13"/>
      <c r="D79" s="13"/>
      <c r="E79" s="13"/>
      <c r="F79" s="13"/>
      <c r="G79" s="13"/>
      <c r="H79" s="13"/>
      <c r="I79" s="13"/>
      <c r="J79" s="13"/>
      <c r="K79" s="13"/>
    </row>
    <row r="80" spans="1:11" ht="11.25" customHeight="1">
      <c r="A80" s="13"/>
      <c r="B80" s="13"/>
      <c r="C80" s="13"/>
      <c r="D80" s="13"/>
      <c r="E80" s="13"/>
      <c r="F80" s="13"/>
      <c r="G80" s="13"/>
      <c r="H80" s="13"/>
      <c r="I80" s="13"/>
      <c r="J80" s="13"/>
      <c r="K80" s="13"/>
    </row>
    <row r="81" spans="1:11" ht="11.25" customHeight="1">
      <c r="A81" s="13"/>
      <c r="B81" s="13"/>
      <c r="C81" s="13"/>
      <c r="D81" s="13"/>
      <c r="E81" s="13"/>
      <c r="F81" s="13"/>
      <c r="G81" s="13"/>
      <c r="H81" s="13"/>
      <c r="I81" s="13"/>
      <c r="J81" s="13"/>
      <c r="K81" s="13"/>
    </row>
    <row r="82" spans="1:11" ht="11.25" customHeight="1">
      <c r="A82" s="13"/>
      <c r="B82" s="13"/>
      <c r="C82" s="13"/>
      <c r="D82" s="13"/>
      <c r="E82" s="13"/>
      <c r="F82" s="13"/>
      <c r="G82" s="13"/>
      <c r="H82" s="13"/>
      <c r="I82" s="13"/>
      <c r="J82" s="13"/>
      <c r="K82" s="13"/>
    </row>
    <row r="83" spans="1:11" ht="11.25" customHeight="1">
      <c r="A83" s="13"/>
      <c r="B83" s="13"/>
      <c r="C83" s="13"/>
      <c r="D83" s="13"/>
      <c r="E83" s="13"/>
      <c r="F83" s="13"/>
      <c r="G83" s="13"/>
      <c r="H83" s="13"/>
      <c r="I83" s="13"/>
      <c r="J83" s="13"/>
      <c r="K83" s="13"/>
    </row>
    <row r="84" spans="1:11" ht="11.25" customHeight="1">
      <c r="A84" s="13"/>
      <c r="B84" s="13"/>
      <c r="C84" s="13"/>
      <c r="D84" s="13"/>
      <c r="E84" s="13"/>
      <c r="F84" s="13"/>
      <c r="G84" s="13"/>
      <c r="H84" s="13"/>
      <c r="I84" s="13"/>
      <c r="J84" s="13"/>
      <c r="K84" s="13"/>
    </row>
    <row r="85" spans="1:11" ht="11.25" customHeight="1">
      <c r="A85" s="13"/>
      <c r="B85" s="13"/>
      <c r="C85" s="13"/>
      <c r="D85" s="13"/>
      <c r="E85" s="13"/>
      <c r="F85" s="13"/>
      <c r="G85" s="13"/>
      <c r="H85" s="13"/>
      <c r="I85" s="13"/>
      <c r="J85" s="13"/>
      <c r="K85" s="13"/>
    </row>
    <row r="86" spans="1:11" ht="11.25" customHeight="1">
      <c r="A86" s="13"/>
      <c r="B86" s="13"/>
      <c r="C86" s="13"/>
      <c r="D86" s="13"/>
      <c r="E86" s="13"/>
      <c r="F86" s="13"/>
      <c r="G86" s="13"/>
      <c r="H86" s="13"/>
      <c r="I86" s="13"/>
      <c r="J86" s="13"/>
      <c r="K86" s="13"/>
    </row>
    <row r="87" spans="1:11" ht="11.25" customHeight="1">
      <c r="A87" s="13"/>
      <c r="B87" s="13"/>
      <c r="C87" s="13"/>
      <c r="D87" s="13"/>
      <c r="E87" s="13"/>
      <c r="F87" s="13"/>
      <c r="G87" s="13"/>
      <c r="H87" s="13"/>
      <c r="I87" s="13"/>
      <c r="J87" s="13"/>
      <c r="K87" s="13"/>
    </row>
    <row r="88" spans="1:11" ht="11.25" customHeight="1">
      <c r="A88" s="13"/>
      <c r="B88" s="13"/>
      <c r="C88" s="13"/>
      <c r="D88" s="13"/>
      <c r="E88" s="13"/>
      <c r="F88" s="13"/>
      <c r="G88" s="13"/>
      <c r="H88" s="13"/>
      <c r="I88" s="13"/>
      <c r="J88" s="13"/>
      <c r="K88" s="13"/>
    </row>
    <row r="89" spans="1:11" ht="11.25" customHeight="1">
      <c r="A89" s="13"/>
      <c r="B89" s="13"/>
      <c r="C89" s="13"/>
      <c r="D89" s="13"/>
      <c r="E89" s="13"/>
      <c r="F89" s="13"/>
      <c r="G89" s="13"/>
      <c r="H89" s="13"/>
      <c r="I89" s="13"/>
      <c r="J89" s="13"/>
      <c r="K89" s="13"/>
    </row>
    <row r="90" spans="1:11" ht="11.25" customHeight="1">
      <c r="A90" s="13"/>
      <c r="B90" s="13"/>
      <c r="C90" s="13"/>
      <c r="D90" s="13"/>
      <c r="E90" s="13"/>
      <c r="F90" s="13"/>
      <c r="G90" s="13"/>
      <c r="H90" s="13"/>
      <c r="I90" s="13"/>
      <c r="J90" s="13"/>
      <c r="K90" s="13"/>
    </row>
    <row r="91" spans="1:11" ht="11.25" customHeight="1">
      <c r="A91" s="13"/>
      <c r="B91" s="13"/>
      <c r="C91" s="13"/>
      <c r="D91" s="13"/>
      <c r="E91" s="13"/>
      <c r="F91" s="13"/>
      <c r="G91" s="13"/>
      <c r="H91" s="13"/>
      <c r="I91" s="13"/>
      <c r="J91" s="13"/>
      <c r="K91" s="13"/>
    </row>
    <row r="92" spans="1:11" ht="11.25" customHeight="1">
      <c r="A92" s="13"/>
      <c r="B92" s="13"/>
      <c r="C92" s="13"/>
      <c r="D92" s="13"/>
      <c r="E92" s="13"/>
      <c r="F92" s="13"/>
      <c r="G92" s="13"/>
      <c r="H92" s="13"/>
      <c r="I92" s="13"/>
      <c r="J92" s="13"/>
      <c r="K92" s="13"/>
    </row>
    <row r="93" spans="1:11" ht="11.25" customHeight="1">
      <c r="A93" s="13"/>
      <c r="B93" s="13"/>
      <c r="C93" s="13"/>
      <c r="D93" s="13"/>
      <c r="E93" s="13"/>
      <c r="F93" s="13"/>
      <c r="G93" s="13"/>
      <c r="H93" s="13"/>
      <c r="I93" s="13"/>
      <c r="J93" s="13"/>
      <c r="K93" s="13"/>
    </row>
    <row r="94" spans="1:11" ht="11.25" customHeight="1">
      <c r="A94" s="13"/>
      <c r="B94" s="13"/>
      <c r="C94" s="13"/>
      <c r="D94" s="13"/>
      <c r="E94" s="13"/>
      <c r="F94" s="13"/>
      <c r="G94" s="13"/>
      <c r="H94" s="13"/>
      <c r="I94" s="13"/>
      <c r="J94" s="13"/>
      <c r="K94" s="13"/>
    </row>
    <row r="95" spans="1:11" ht="11.25" customHeight="1">
      <c r="A95" s="13"/>
      <c r="B95" s="13"/>
      <c r="C95" s="13"/>
      <c r="D95" s="13"/>
      <c r="E95" s="13"/>
      <c r="F95" s="13"/>
      <c r="G95" s="13"/>
      <c r="H95" s="13"/>
      <c r="I95" s="13"/>
      <c r="J95" s="13"/>
      <c r="K95" s="13"/>
    </row>
    <row r="96" spans="1:11" ht="11.25" customHeight="1">
      <c r="A96" s="13"/>
      <c r="B96" s="13"/>
      <c r="C96" s="13"/>
      <c r="D96" s="13"/>
      <c r="E96" s="13"/>
      <c r="F96" s="13"/>
      <c r="G96" s="13"/>
      <c r="H96" s="13"/>
      <c r="I96" s="13"/>
      <c r="J96" s="13"/>
      <c r="K96" s="13"/>
    </row>
    <row r="97" spans="1:11" ht="11.25" customHeight="1">
      <c r="A97" s="13"/>
      <c r="B97" s="13"/>
      <c r="C97" s="13"/>
      <c r="D97" s="13"/>
      <c r="E97" s="13"/>
      <c r="F97" s="13"/>
      <c r="G97" s="13"/>
      <c r="H97" s="13"/>
      <c r="I97" s="13"/>
      <c r="J97" s="13"/>
      <c r="K97" s="13"/>
    </row>
    <row r="98" spans="1:11" ht="11.25" customHeight="1">
      <c r="A98" s="13"/>
      <c r="B98" s="13"/>
      <c r="C98" s="13"/>
      <c r="D98" s="13"/>
      <c r="E98" s="13"/>
      <c r="F98" s="13"/>
      <c r="G98" s="13"/>
      <c r="H98" s="13"/>
      <c r="I98" s="13"/>
      <c r="J98" s="13"/>
      <c r="K98" s="13"/>
    </row>
    <row r="99" spans="1:11" ht="11.25" customHeight="1">
      <c r="A99" s="13"/>
      <c r="B99" s="13"/>
      <c r="C99" s="13"/>
      <c r="D99" s="13"/>
      <c r="E99" s="13"/>
      <c r="F99" s="13"/>
      <c r="G99" s="13"/>
      <c r="H99" s="13"/>
      <c r="I99" s="13"/>
      <c r="J99" s="13"/>
      <c r="K99" s="13"/>
    </row>
    <row r="100" spans="1:11" ht="11.25" customHeight="1">
      <c r="A100" s="13"/>
      <c r="B100" s="13"/>
      <c r="C100" s="13"/>
      <c r="D100" s="13"/>
      <c r="E100" s="13"/>
      <c r="F100" s="13"/>
      <c r="G100" s="13"/>
      <c r="H100" s="13"/>
      <c r="I100" s="13"/>
      <c r="J100" s="13"/>
      <c r="K100" s="13"/>
    </row>
    <row r="101" spans="1:11" ht="11.25" customHeight="1">
      <c r="A101" s="13"/>
      <c r="B101" s="13"/>
      <c r="C101" s="13"/>
      <c r="D101" s="13"/>
      <c r="E101" s="13"/>
      <c r="F101" s="13"/>
      <c r="G101" s="13"/>
      <c r="H101" s="13"/>
      <c r="I101" s="13"/>
      <c r="J101" s="13"/>
      <c r="K101" s="13"/>
    </row>
    <row r="102" spans="1:11" ht="11.25" customHeight="1">
      <c r="A102" s="13"/>
      <c r="B102" s="13"/>
      <c r="C102" s="13"/>
      <c r="D102" s="13"/>
      <c r="E102" s="13"/>
      <c r="F102" s="13"/>
      <c r="G102" s="13"/>
      <c r="H102" s="13"/>
      <c r="I102" s="13"/>
      <c r="J102" s="13"/>
      <c r="K102" s="13"/>
    </row>
    <row r="103" spans="1:11" ht="11.25" customHeight="1">
      <c r="A103" s="13"/>
      <c r="B103" s="13"/>
      <c r="C103" s="13"/>
      <c r="D103" s="13"/>
      <c r="E103" s="13"/>
      <c r="F103" s="13"/>
      <c r="G103" s="13"/>
      <c r="H103" s="13"/>
      <c r="I103" s="13"/>
      <c r="J103" s="13"/>
      <c r="K103" s="13"/>
    </row>
    <row r="104" spans="1:11" ht="11.25" customHeight="1">
      <c r="A104" s="13"/>
      <c r="B104" s="13"/>
      <c r="C104" s="13"/>
      <c r="D104" s="13"/>
      <c r="E104" s="13"/>
      <c r="F104" s="13"/>
      <c r="G104" s="13"/>
      <c r="H104" s="13"/>
      <c r="I104" s="13"/>
      <c r="J104" s="13"/>
      <c r="K104" s="13"/>
    </row>
    <row r="105" spans="1:11" ht="11.25" customHeight="1">
      <c r="A105" s="13"/>
      <c r="B105" s="13"/>
      <c r="C105" s="13"/>
      <c r="D105" s="13"/>
      <c r="E105" s="13"/>
      <c r="F105" s="13"/>
      <c r="G105" s="13"/>
      <c r="H105" s="13"/>
      <c r="I105" s="13"/>
      <c r="J105" s="13"/>
      <c r="K105" s="13"/>
    </row>
    <row r="106" spans="1:11" ht="11.25" customHeight="1">
      <c r="A106" s="13"/>
      <c r="B106" s="13"/>
      <c r="C106" s="13"/>
      <c r="D106" s="13"/>
      <c r="E106" s="13"/>
      <c r="F106" s="13"/>
      <c r="G106" s="13"/>
      <c r="H106" s="13"/>
      <c r="I106" s="13"/>
      <c r="J106" s="13"/>
      <c r="K106" s="13"/>
    </row>
    <row r="107" spans="1:11" ht="11.25" customHeight="1">
      <c r="A107" s="13"/>
      <c r="B107" s="13"/>
      <c r="C107" s="13"/>
      <c r="D107" s="13"/>
      <c r="E107" s="13"/>
      <c r="F107" s="13"/>
      <c r="G107" s="13"/>
      <c r="H107" s="13"/>
      <c r="I107" s="13"/>
      <c r="J107" s="13"/>
      <c r="K107" s="13"/>
    </row>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sheetData>
  <sheetProtection password="C774" sheet="1" objects="1" scenarios="1"/>
  <mergeCells count="5">
    <mergeCell ref="L2:M5"/>
    <mergeCell ref="A3:K5"/>
    <mergeCell ref="A6:K6"/>
    <mergeCell ref="A1:D1"/>
    <mergeCell ref="J1:K1"/>
  </mergeCells>
  <dataValidations count="5">
    <dataValidation type="whole" operator="greaterThanOrEqual" allowBlank="1" showInputMessage="1" showErrorMessage="1" promptTitle="Enter:" prompt="Initial Number at Risk" sqref="C8">
      <formula1>2</formula1>
    </dataValidation>
    <dataValidation type="whole" allowBlank="1" showInputMessage="1" showErrorMessage="1" promptTitle="Enter:" prompt="Live Withdrawals During Interval" sqref="E8">
      <formula1>0</formula1>
      <formula2>'Survival Curve'!#REF!</formula2>
    </dataValidation>
    <dataValidation type="whole" operator="greaterThanOrEqual" allowBlank="1" showInputMessage="1" showErrorMessage="1" promptTitle="Enter:" prompt="Events in Interval" sqref="D8">
      <formula1>0</formula1>
    </dataValidation>
    <dataValidation type="whole" allowBlank="1" showInputMessage="1" showErrorMessage="1" promptTitle="Enter:" prompt="Events in Interval" sqref="D9:D55">
      <formula1>0</formula1>
      <formula2>'Survival Curve'!#REF!</formula2>
    </dataValidation>
    <dataValidation type="whole" allowBlank="1" showInputMessage="1" showErrorMessage="1" promptTitle="Enter:" prompt="Live Withdrawals During Interval" sqref="E9:E55">
      <formula1>0</formula1>
      <formula2>'Survival Curve'!#REF!-'Survival Curve'!#REF!</formula2>
    </dataValidation>
  </dataValidations>
  <hyperlinks>
    <hyperlink ref="J1" location="'Main Menu'!A1" display="Main Menu"/>
  </hyperlinks>
  <printOptions/>
  <pageMargins left="0.75" right="0.75" top="1" bottom="1" header="0.5" footer="0.5"/>
  <pageSetup orientation="portrait"/>
  <drawing r:id="rId1"/>
</worksheet>
</file>

<file path=xl/worksheets/sheet18.xml><?xml version="1.0" encoding="utf-8"?>
<worksheet xmlns="http://schemas.openxmlformats.org/spreadsheetml/2006/main" xmlns:r="http://schemas.openxmlformats.org/officeDocument/2006/relationships">
  <dimension ref="A1:K9"/>
  <sheetViews>
    <sheetView workbookViewId="0" topLeftCell="A1">
      <selection activeCell="J22" sqref="J22"/>
    </sheetView>
  </sheetViews>
  <sheetFormatPr defaultColWidth="8.8515625" defaultRowHeight="12.75"/>
  <cols>
    <col min="1" max="1" width="7.421875" style="0" customWidth="1"/>
    <col min="2" max="2" width="4.421875" style="0" customWidth="1"/>
    <col min="3" max="3" width="10.8515625" style="0" customWidth="1"/>
    <col min="4" max="4" width="11.00390625" style="0" customWidth="1"/>
    <col min="5" max="5" width="6.00390625" style="0" customWidth="1"/>
    <col min="6" max="6" width="3.421875" style="0" customWidth="1"/>
    <col min="7" max="7" width="5.7109375" style="0" customWidth="1"/>
    <col min="8" max="8" width="5.8515625" style="0" customWidth="1"/>
    <col min="9" max="10" width="8.8515625" style="0" customWidth="1"/>
    <col min="11" max="11" width="10.28125" style="0" customWidth="1"/>
  </cols>
  <sheetData>
    <row r="1" spans="1:11" ht="21.75" customHeight="1">
      <c r="A1" s="344" t="s">
        <v>157</v>
      </c>
      <c r="B1" s="345"/>
      <c r="C1" s="345"/>
      <c r="D1" s="345"/>
      <c r="E1" s="345"/>
      <c r="F1" s="346"/>
      <c r="K1" s="167" t="s">
        <v>193</v>
      </c>
    </row>
    <row r="2" spans="3:4" ht="12">
      <c r="C2" s="279" t="s">
        <v>158</v>
      </c>
      <c r="D2" s="279"/>
    </row>
    <row r="3" spans="3:4" ht="12">
      <c r="C3" s="137" t="s">
        <v>159</v>
      </c>
      <c r="D3" s="137" t="s">
        <v>54</v>
      </c>
    </row>
    <row r="4" spans="1:8" ht="12">
      <c r="A4" s="42" t="s">
        <v>160</v>
      </c>
      <c r="B4" s="137" t="s">
        <v>159</v>
      </c>
      <c r="C4" s="169">
        <v>29</v>
      </c>
      <c r="D4" s="169">
        <v>79</v>
      </c>
      <c r="E4">
        <f>C4+D4</f>
        <v>108</v>
      </c>
      <c r="G4" s="139" t="s">
        <v>163</v>
      </c>
      <c r="H4" s="24">
        <f>C4/E4</f>
        <v>0.26851851851851855</v>
      </c>
    </row>
    <row r="5" spans="1:8" ht="12">
      <c r="A5" s="42" t="s">
        <v>253</v>
      </c>
      <c r="B5" s="137" t="s">
        <v>54</v>
      </c>
      <c r="C5" s="169">
        <f>71-29</f>
        <v>42</v>
      </c>
      <c r="D5" s="169">
        <f>1423-79</f>
        <v>1344</v>
      </c>
      <c r="E5">
        <f>C5+D5</f>
        <v>1386</v>
      </c>
      <c r="G5" s="139" t="s">
        <v>164</v>
      </c>
      <c r="H5" s="24">
        <f>D5/E5</f>
        <v>0.9696969696969697</v>
      </c>
    </row>
    <row r="6" spans="3:5" ht="12">
      <c r="C6">
        <f>C4+C5</f>
        <v>71</v>
      </c>
      <c r="D6">
        <f>D4+D5</f>
        <v>1423</v>
      </c>
      <c r="E6">
        <f>C6+D6</f>
        <v>1494</v>
      </c>
    </row>
    <row r="7" spans="3:4" ht="12">
      <c r="C7" s="138"/>
      <c r="D7" s="138"/>
    </row>
    <row r="8" spans="3:4" ht="12">
      <c r="C8" s="42" t="s">
        <v>161</v>
      </c>
      <c r="D8" s="42" t="s">
        <v>162</v>
      </c>
    </row>
    <row r="9" spans="3:4" ht="12">
      <c r="C9" s="24">
        <f>C4/C6</f>
        <v>0.4084507042253521</v>
      </c>
      <c r="D9" s="24">
        <f>D5/D6</f>
        <v>0.9444834855938159</v>
      </c>
    </row>
  </sheetData>
  <sheetProtection/>
  <mergeCells count="2">
    <mergeCell ref="C2:D2"/>
    <mergeCell ref="A1:F1"/>
  </mergeCells>
  <hyperlinks>
    <hyperlink ref="K1" location="'Main Menu'!A1" display="Main Menu"/>
  </hyperlinks>
  <printOptions/>
  <pageMargins left="0.75" right="0.75" top="1" bottom="1" header="0.5" footer="0.5"/>
  <pageSetup horizontalDpi="600" verticalDpi="600" orientation="portrait"/>
</worksheet>
</file>

<file path=xl/worksheets/sheet19.xml><?xml version="1.0" encoding="utf-8"?>
<worksheet xmlns="http://schemas.openxmlformats.org/spreadsheetml/2006/main" xmlns:r="http://schemas.openxmlformats.org/officeDocument/2006/relationships">
  <dimension ref="A1:Q68"/>
  <sheetViews>
    <sheetView workbookViewId="0" topLeftCell="A1">
      <selection activeCell="K1" sqref="K1"/>
    </sheetView>
  </sheetViews>
  <sheetFormatPr defaultColWidth="8.8515625" defaultRowHeight="12.75"/>
  <cols>
    <col min="1" max="1" width="8.8515625" style="0" customWidth="1"/>
    <col min="2" max="2" width="7.7109375" style="0" customWidth="1"/>
    <col min="3" max="3" width="13.8515625" style="0" customWidth="1"/>
    <col min="4" max="4" width="12.00390625" style="0" customWidth="1"/>
    <col min="5" max="5" width="12.8515625" style="0" customWidth="1"/>
    <col min="6" max="6" width="11.421875" style="0" customWidth="1"/>
    <col min="7" max="9" width="8.8515625" style="0" customWidth="1"/>
    <col min="10" max="10" width="3.140625" style="0" customWidth="1"/>
    <col min="11" max="11" width="10.8515625" style="0" customWidth="1"/>
    <col min="12" max="12" width="27.421875" style="0" customWidth="1"/>
    <col min="13" max="13" width="11.7109375" style="0" customWidth="1"/>
    <col min="14" max="14" width="7.28125" style="0" customWidth="1"/>
    <col min="15" max="15" width="11.28125" style="0" customWidth="1"/>
  </cols>
  <sheetData>
    <row r="1" spans="1:15" ht="29.25" customHeight="1">
      <c r="A1" s="381" t="s">
        <v>231</v>
      </c>
      <c r="B1" s="379"/>
      <c r="C1" s="379"/>
      <c r="D1" s="379"/>
      <c r="E1" s="379"/>
      <c r="F1" s="379"/>
      <c r="G1" s="379"/>
      <c r="H1" s="379"/>
      <c r="I1" s="379"/>
      <c r="J1" s="217"/>
      <c r="K1" s="218" t="s">
        <v>193</v>
      </c>
      <c r="L1" s="213"/>
      <c r="M1" s="213"/>
      <c r="N1" s="214"/>
      <c r="O1" s="214"/>
    </row>
    <row r="2" spans="1:15" ht="12">
      <c r="A2" s="382" t="s">
        <v>251</v>
      </c>
      <c r="B2" s="383"/>
      <c r="C2" s="383"/>
      <c r="D2" s="383"/>
      <c r="E2" s="383"/>
      <c r="F2" s="383"/>
      <c r="G2" s="383"/>
      <c r="H2" s="383"/>
      <c r="I2" s="383"/>
      <c r="J2" s="215"/>
      <c r="K2" s="215"/>
      <c r="L2" s="215"/>
      <c r="M2" s="216"/>
      <c r="N2" s="216"/>
      <c r="O2" s="216"/>
    </row>
    <row r="3" spans="1:15" ht="18.75" customHeight="1">
      <c r="A3" s="384"/>
      <c r="B3" s="385"/>
      <c r="C3" s="385"/>
      <c r="D3" s="385"/>
      <c r="E3" s="385"/>
      <c r="F3" s="385"/>
      <c r="G3" s="385"/>
      <c r="H3" s="385"/>
      <c r="I3" s="385"/>
      <c r="J3" s="215"/>
      <c r="K3" s="215"/>
      <c r="L3" s="215"/>
      <c r="M3" s="186"/>
      <c r="O3" s="186"/>
    </row>
    <row r="4" spans="1:16" s="187" customFormat="1" ht="17.25" customHeight="1">
      <c r="A4" s="186"/>
      <c r="B4" s="186"/>
      <c r="C4" s="186"/>
      <c r="D4" s="186"/>
      <c r="E4" s="186" t="s">
        <v>240</v>
      </c>
      <c r="F4" s="186"/>
      <c r="G4" s="186"/>
      <c r="H4" s="186"/>
      <c r="I4" s="186"/>
      <c r="J4" s="186"/>
      <c r="K4" s="186"/>
      <c r="L4" s="186"/>
      <c r="M4" s="186"/>
      <c r="N4" s="186"/>
      <c r="O4" s="186"/>
      <c r="P4" s="186"/>
    </row>
    <row r="5" spans="3:7" ht="12.75" customHeight="1">
      <c r="C5" s="394" t="s">
        <v>237</v>
      </c>
      <c r="D5" s="397" t="s">
        <v>236</v>
      </c>
      <c r="E5" s="391" t="s">
        <v>238</v>
      </c>
      <c r="F5" s="391" t="s">
        <v>239</v>
      </c>
      <c r="G5" s="193"/>
    </row>
    <row r="6" spans="3:10" ht="12.75" customHeight="1">
      <c r="C6" s="395"/>
      <c r="D6" s="398"/>
      <c r="E6" s="392"/>
      <c r="F6" s="392"/>
      <c r="G6" s="194"/>
      <c r="H6" s="205"/>
      <c r="I6" s="205"/>
      <c r="J6" s="205"/>
    </row>
    <row r="7" spans="1:10" ht="12">
      <c r="A7" t="s">
        <v>215</v>
      </c>
      <c r="B7" s="23" t="s">
        <v>206</v>
      </c>
      <c r="C7" s="396"/>
      <c r="D7" s="399"/>
      <c r="E7" s="393"/>
      <c r="F7" s="393"/>
      <c r="G7" s="194"/>
      <c r="H7" s="205"/>
      <c r="I7" s="205"/>
      <c r="J7" s="205"/>
    </row>
    <row r="8" spans="1:17" ht="12">
      <c r="A8" s="45" t="s">
        <v>232</v>
      </c>
      <c r="B8">
        <v>1</v>
      </c>
      <c r="C8" s="184">
        <v>0.0001</v>
      </c>
      <c r="D8" s="172">
        <v>74657</v>
      </c>
      <c r="E8" s="223">
        <f>C8*D8</f>
        <v>7.4657</v>
      </c>
      <c r="F8" s="188">
        <v>11</v>
      </c>
      <c r="G8" s="173"/>
      <c r="H8" s="173"/>
      <c r="I8" s="173"/>
      <c r="J8" s="173"/>
      <c r="L8" s="174"/>
      <c r="M8" s="174"/>
      <c r="N8" s="390" t="s">
        <v>248</v>
      </c>
      <c r="O8" s="379"/>
      <c r="P8" s="379"/>
      <c r="Q8" s="380"/>
    </row>
    <row r="9" spans="1:17" ht="12">
      <c r="A9" s="45" t="s">
        <v>219</v>
      </c>
      <c r="B9">
        <v>2</v>
      </c>
      <c r="C9" s="184">
        <v>0.0002</v>
      </c>
      <c r="D9" s="171">
        <v>134957</v>
      </c>
      <c r="E9" s="223">
        <f aca="true" t="shared" si="0" ref="E9:E15">C9*D9</f>
        <v>26.991400000000002</v>
      </c>
      <c r="F9" s="188">
        <v>25</v>
      </c>
      <c r="G9" s="173"/>
      <c r="H9" s="173"/>
      <c r="I9" s="173"/>
      <c r="J9" s="173"/>
      <c r="L9" s="174"/>
      <c r="M9" s="174"/>
      <c r="N9">
        <f>IF($F$16&gt;30,$F$16-1.96*SQRT($F$16),IF($N$14&lt;=0.025,$M$14,IF($N$15&lt;=0.025,$M$15,IF($N$16&lt;=0.025,$M$16,IF($N$17&lt;=0.025,$M$17,IF($N$18&lt;=0.025,$M$18,IF($N$19&lt;=0.025,$M$19,IF($N$20&lt;=0.025,$M$20,O9))))))))</f>
        <v>120.48</v>
      </c>
      <c r="O9">
        <f>IF($N$21&lt;=0.025,$M$21,IF($N$22&lt;=0.025,$M$22,IF($N$23&lt;=0.025,$M$23,IF($N$24&lt;=0.025,$M$24,IF($N$25&lt;=0.025,$M$25,IF($N$26&lt;=0.025,$M$26,IF($N$27&lt;=0.025,$M$27,IF($N$28&lt;=0.025,$M$28,P9))))))))</f>
        <v>120</v>
      </c>
      <c r="P9">
        <f>IF($N$29&lt;=0.025,$M$29,IF($N$30&lt;=0.025,$M$30,IF($N$31&lt;=0.025,$M$31,IF($N$32&lt;=0.025,$M$32,IF($N$33&lt;=0.025,$M$33,IF($N$34&lt;=0.025,$M$34,IF($N$35&lt;=0.025,$M$35,IF($N$36&lt;=0.025,$M$36,$Q$9))))))))</f>
        <v>120</v>
      </c>
      <c r="Q9">
        <f>IF($N$37&lt;=0.025,$M$37,IF($N$38&lt;=0.025,$M$38,IF($N$39&lt;=0.025,$M$39,IF($N$40&lt;=0.025,$M$40,IF($N$41&lt;=0.025,$M$41,IF($N$42&lt;=0.025,$M$42,"error"))))))</f>
        <v>120</v>
      </c>
    </row>
    <row r="10" spans="1:17" ht="12">
      <c r="A10" s="45" t="s">
        <v>220</v>
      </c>
      <c r="B10">
        <v>3</v>
      </c>
      <c r="C10" s="184">
        <v>0.0005</v>
      </c>
      <c r="D10" s="171">
        <v>54463</v>
      </c>
      <c r="E10" s="223">
        <f t="shared" si="0"/>
        <v>27.2315</v>
      </c>
      <c r="F10" s="188">
        <v>30</v>
      </c>
      <c r="G10" s="173"/>
      <c r="H10" s="173"/>
      <c r="I10" s="173"/>
      <c r="J10" s="173"/>
      <c r="L10" s="174"/>
      <c r="M10" s="206" t="s">
        <v>245</v>
      </c>
      <c r="N10" s="207" t="s">
        <v>242</v>
      </c>
      <c r="O10" s="207" t="s">
        <v>243</v>
      </c>
      <c r="P10" s="386" t="s">
        <v>246</v>
      </c>
      <c r="Q10" s="387"/>
    </row>
    <row r="11" spans="1:17" ht="12">
      <c r="A11" s="45" t="s">
        <v>233</v>
      </c>
      <c r="B11">
        <v>4</v>
      </c>
      <c r="C11" s="184">
        <v>0.0015</v>
      </c>
      <c r="D11" s="171">
        <v>25136</v>
      </c>
      <c r="E11" s="223">
        <f t="shared" si="0"/>
        <v>37.704</v>
      </c>
      <c r="F11" s="188">
        <v>40</v>
      </c>
      <c r="G11" s="173"/>
      <c r="H11" s="173"/>
      <c r="I11" s="173"/>
      <c r="J11" s="173"/>
      <c r="L11" s="174"/>
      <c r="M11" s="65">
        <f>F16-N9</f>
        <v>23.519999999999996</v>
      </c>
      <c r="N11" s="208">
        <f>F16-M11</f>
        <v>120.48</v>
      </c>
      <c r="O11" s="208">
        <f>F16+M11</f>
        <v>167.51999999999998</v>
      </c>
      <c r="P11" s="388"/>
      <c r="Q11" s="389"/>
    </row>
    <row r="12" spans="1:14" ht="12">
      <c r="A12" s="45" t="s">
        <v>234</v>
      </c>
      <c r="B12">
        <v>5</v>
      </c>
      <c r="C12" s="184">
        <v>0.0018</v>
      </c>
      <c r="D12" s="171">
        <v>17012</v>
      </c>
      <c r="E12" s="223">
        <f t="shared" si="0"/>
        <v>30.6216</v>
      </c>
      <c r="F12" s="188">
        <v>30</v>
      </c>
      <c r="G12" s="173"/>
      <c r="H12" s="173"/>
      <c r="I12" s="173"/>
      <c r="J12" s="173"/>
      <c r="L12" s="174"/>
      <c r="M12" s="139" t="s">
        <v>247</v>
      </c>
      <c r="N12" s="209" t="s">
        <v>244</v>
      </c>
    </row>
    <row r="13" spans="1:14" ht="12">
      <c r="A13" s="45" t="s">
        <v>235</v>
      </c>
      <c r="B13">
        <v>6</v>
      </c>
      <c r="C13" s="184">
        <v>0.001</v>
      </c>
      <c r="D13" s="171">
        <v>6337</v>
      </c>
      <c r="E13" s="223">
        <f t="shared" si="0"/>
        <v>6.337</v>
      </c>
      <c r="F13" s="188">
        <v>8</v>
      </c>
      <c r="G13" s="173"/>
      <c r="H13" s="173"/>
      <c r="I13" s="173"/>
      <c r="J13" s="173"/>
      <c r="M13" s="46">
        <f>F16</f>
        <v>144</v>
      </c>
      <c r="N13" s="192">
        <f>POISSON(M13,$M$13,TRUE)</f>
        <v>0.5221438056029217</v>
      </c>
    </row>
    <row r="14" spans="2:14" ht="12">
      <c r="B14">
        <v>7</v>
      </c>
      <c r="C14" s="184">
        <v>0</v>
      </c>
      <c r="D14" s="171">
        <v>0</v>
      </c>
      <c r="E14" s="223">
        <f t="shared" si="0"/>
        <v>0</v>
      </c>
      <c r="F14" s="188"/>
      <c r="G14" s="173"/>
      <c r="H14" s="173"/>
      <c r="I14" s="173"/>
      <c r="J14" s="173"/>
      <c r="M14" s="46">
        <f>M13-1</f>
        <v>143</v>
      </c>
      <c r="N14" s="192">
        <f>POISSON(M14,$M$13,TRUE)</f>
        <v>0.48891784908736313</v>
      </c>
    </row>
    <row r="15" spans="2:14" ht="12">
      <c r="B15">
        <v>8</v>
      </c>
      <c r="C15" s="184">
        <v>0</v>
      </c>
      <c r="D15" s="171">
        <v>0</v>
      </c>
      <c r="E15" s="223">
        <f t="shared" si="0"/>
        <v>0</v>
      </c>
      <c r="F15" s="188"/>
      <c r="G15" s="173"/>
      <c r="H15" s="173"/>
      <c r="I15" s="173"/>
      <c r="J15" s="173"/>
      <c r="M15" s="46">
        <f aca="true" t="shared" si="1" ref="M15:M27">M14-1</f>
        <v>142</v>
      </c>
      <c r="N15" s="192">
        <f aca="true" t="shared" si="2" ref="N15:N42">POISSON(M15,$M$13,TRUE)</f>
        <v>0.45569189257180465</v>
      </c>
    </row>
    <row r="16" spans="2:14" ht="12">
      <c r="B16" s="23" t="s">
        <v>216</v>
      </c>
      <c r="C16" s="67"/>
      <c r="D16" s="23">
        <f>SUM(D8:D15)</f>
        <v>312562</v>
      </c>
      <c r="E16" s="220">
        <f>SUM(E8:E15)</f>
        <v>136.3512</v>
      </c>
      <c r="F16" s="23">
        <f>SUM(F8:F15)</f>
        <v>144</v>
      </c>
      <c r="M16" s="46">
        <f t="shared" si="1"/>
        <v>141</v>
      </c>
      <c r="N16" s="192">
        <f t="shared" si="2"/>
        <v>0.4226966718653819</v>
      </c>
    </row>
    <row r="17" spans="7:14" ht="12.75" customHeight="1">
      <c r="G17" s="212"/>
      <c r="H17" s="212"/>
      <c r="M17" s="46">
        <f t="shared" si="1"/>
        <v>140</v>
      </c>
      <c r="N17" s="192">
        <f t="shared" si="2"/>
        <v>0.39015971811321504</v>
      </c>
    </row>
    <row r="18" spans="3:14" ht="12.75" customHeight="1">
      <c r="C18" s="378" t="s">
        <v>241</v>
      </c>
      <c r="D18" s="379"/>
      <c r="E18" s="380"/>
      <c r="F18" s="210">
        <f>(F16/E16)*100</f>
        <v>105.60963159840178</v>
      </c>
      <c r="H18" s="211"/>
      <c r="I18" s="210"/>
      <c r="M18" s="46">
        <f t="shared" si="1"/>
        <v>139</v>
      </c>
      <c r="N18" s="192">
        <f t="shared" si="2"/>
        <v>0.3583006175642184</v>
      </c>
    </row>
    <row r="19" spans="8:14" ht="12.75" customHeight="1">
      <c r="H19" s="173"/>
      <c r="I19" s="173"/>
      <c r="J19" s="173"/>
      <c r="M19" s="46">
        <f t="shared" si="1"/>
        <v>138</v>
      </c>
      <c r="N19" s="192">
        <f t="shared" si="2"/>
        <v>0.3273264920304716</v>
      </c>
    </row>
    <row r="20" spans="3:14" ht="12">
      <c r="C20" s="400" t="s">
        <v>249</v>
      </c>
      <c r="D20" s="308"/>
      <c r="E20" s="309"/>
      <c r="F20" s="210">
        <f>(N11/E16)*100</f>
        <v>88.36005843732949</v>
      </c>
      <c r="G20" s="190"/>
      <c r="H20" s="190"/>
      <c r="I20" s="190"/>
      <c r="J20" s="190"/>
      <c r="M20" s="46">
        <f t="shared" si="1"/>
        <v>137</v>
      </c>
      <c r="N20" s="192">
        <f t="shared" si="2"/>
        <v>0.2974278569666466</v>
      </c>
    </row>
    <row r="21" spans="3:14" ht="12">
      <c r="C21" s="400" t="s">
        <v>250</v>
      </c>
      <c r="D21" s="308"/>
      <c r="E21" s="309"/>
      <c r="F21" s="210">
        <f>(O11/E16)*100</f>
        <v>122.85920475947405</v>
      </c>
      <c r="H21" s="189"/>
      <c r="I21" s="189"/>
      <c r="J21" s="189"/>
      <c r="M21" s="46">
        <f t="shared" si="1"/>
        <v>136</v>
      </c>
      <c r="N21" s="192">
        <f t="shared" si="2"/>
        <v>0.26877499836381424</v>
      </c>
    </row>
    <row r="22" spans="8:14" ht="12">
      <c r="H22" s="182"/>
      <c r="I22" s="182"/>
      <c r="J22" s="182"/>
      <c r="M22" s="46">
        <f t="shared" si="1"/>
        <v>135</v>
      </c>
      <c r="N22" s="192">
        <f t="shared" si="2"/>
        <v>0.24151498705417526</v>
      </c>
    </row>
    <row r="23" spans="1:15" ht="16.5">
      <c r="A23" s="180" t="s">
        <v>222</v>
      </c>
      <c r="M23" s="203">
        <f>M22-1</f>
        <v>134</v>
      </c>
      <c r="N23" s="204">
        <f t="shared" si="2"/>
        <v>0.2157694208172939</v>
      </c>
      <c r="O23" s="187"/>
    </row>
    <row r="24" spans="1:14" ht="12">
      <c r="A24" s="186"/>
      <c r="B24" s="186"/>
      <c r="C24" s="186"/>
      <c r="D24" s="186"/>
      <c r="E24" s="186" t="s">
        <v>240</v>
      </c>
      <c r="F24" s="186"/>
      <c r="M24" s="46">
        <f t="shared" si="1"/>
        <v>133</v>
      </c>
      <c r="N24" s="192">
        <f t="shared" si="2"/>
        <v>0.19163295247021764</v>
      </c>
    </row>
    <row r="25" spans="3:14" ht="12">
      <c r="C25" s="394" t="s">
        <v>237</v>
      </c>
      <c r="D25" s="397" t="s">
        <v>236</v>
      </c>
      <c r="E25" s="391" t="s">
        <v>238</v>
      </c>
      <c r="F25" s="391" t="s">
        <v>239</v>
      </c>
      <c r="M25" s="46">
        <f t="shared" si="1"/>
        <v>132</v>
      </c>
      <c r="N25" s="192">
        <f t="shared" si="2"/>
        <v>0.16917262775835504</v>
      </c>
    </row>
    <row r="26" spans="3:14" ht="12.75">
      <c r="C26" s="395"/>
      <c r="D26" s="398"/>
      <c r="E26" s="392"/>
      <c r="F26" s="392"/>
      <c r="M26" s="46">
        <f t="shared" si="1"/>
        <v>131</v>
      </c>
      <c r="N26" s="192">
        <f t="shared" si="2"/>
        <v>0.1484280222953152</v>
      </c>
    </row>
    <row r="27" spans="1:14" ht="12.75">
      <c r="A27" t="s">
        <v>215</v>
      </c>
      <c r="B27" s="23" t="s">
        <v>206</v>
      </c>
      <c r="C27" s="396"/>
      <c r="D27" s="399"/>
      <c r="E27" s="393"/>
      <c r="F27" s="393"/>
      <c r="M27" s="46">
        <f t="shared" si="1"/>
        <v>130</v>
      </c>
      <c r="N27" s="192">
        <f t="shared" si="2"/>
        <v>0.12941213395419537</v>
      </c>
    </row>
    <row r="28" spans="1:14" s="162" customFormat="1" ht="12.75">
      <c r="A28" s="219" t="s">
        <v>232</v>
      </c>
      <c r="B28">
        <v>1</v>
      </c>
      <c r="C28" s="221">
        <v>0.0001</v>
      </c>
      <c r="D28" s="178">
        <v>74657</v>
      </c>
      <c r="E28" s="185">
        <f>C28*D28</f>
        <v>7.4657</v>
      </c>
      <c r="F28" s="222">
        <v>11</v>
      </c>
      <c r="M28" s="46">
        <f aca="true" t="shared" si="3" ref="M28:M37">M27-1</f>
        <v>129</v>
      </c>
      <c r="N28" s="192">
        <f t="shared" si="2"/>
        <v>0.11211295775498223</v>
      </c>
    </row>
    <row r="29" spans="1:14" s="162" customFormat="1" ht="12.75">
      <c r="A29" s="219" t="s">
        <v>219</v>
      </c>
      <c r="B29">
        <v>2</v>
      </c>
      <c r="C29" s="221">
        <v>0.0002</v>
      </c>
      <c r="D29" s="179">
        <v>134957</v>
      </c>
      <c r="E29" s="185">
        <f aca="true" t="shared" si="4" ref="E29:E35">C29*D29</f>
        <v>26.991400000000002</v>
      </c>
      <c r="F29" s="222">
        <v>25</v>
      </c>
      <c r="G29" s="197"/>
      <c r="H29" s="197"/>
      <c r="I29" s="197"/>
      <c r="J29" s="197"/>
      <c r="M29" s="46">
        <f t="shared" si="3"/>
        <v>128</v>
      </c>
      <c r="N29" s="192">
        <f t="shared" si="2"/>
        <v>0.09649564590847037</v>
      </c>
    </row>
    <row r="30" spans="1:14" s="162" customFormat="1" ht="12.75">
      <c r="A30" s="219" t="s">
        <v>220</v>
      </c>
      <c r="B30">
        <v>3</v>
      </c>
      <c r="C30" s="221">
        <v>0.0005</v>
      </c>
      <c r="D30" s="179">
        <v>54463</v>
      </c>
      <c r="E30" s="185">
        <f t="shared" si="4"/>
        <v>27.2315</v>
      </c>
      <c r="F30" s="222">
        <v>30</v>
      </c>
      <c r="G30" s="197"/>
      <c r="H30" s="197"/>
      <c r="I30" s="197"/>
      <c r="J30" s="197"/>
      <c r="M30" s="46">
        <f t="shared" si="3"/>
        <v>127</v>
      </c>
      <c r="N30" s="192">
        <f t="shared" si="2"/>
        <v>0.08250513737930343</v>
      </c>
    </row>
    <row r="31" spans="1:14" s="162" customFormat="1" ht="12.75">
      <c r="A31" s="219" t="s">
        <v>233</v>
      </c>
      <c r="B31">
        <v>4</v>
      </c>
      <c r="C31" s="221">
        <v>0.0015</v>
      </c>
      <c r="D31" s="179">
        <v>25136</v>
      </c>
      <c r="E31" s="185">
        <f t="shared" si="4"/>
        <v>37.704</v>
      </c>
      <c r="F31" s="222">
        <v>40</v>
      </c>
      <c r="G31" s="190"/>
      <c r="H31" s="190"/>
      <c r="I31" s="190"/>
      <c r="J31" s="190"/>
      <c r="M31" s="46">
        <f t="shared" si="3"/>
        <v>126</v>
      </c>
      <c r="N31" s="192">
        <f t="shared" si="2"/>
        <v>0.07006912979782177</v>
      </c>
    </row>
    <row r="32" spans="1:14" s="162" customFormat="1" ht="12.75">
      <c r="A32" s="219" t="s">
        <v>234</v>
      </c>
      <c r="B32">
        <v>5</v>
      </c>
      <c r="C32" s="221">
        <v>0.0018</v>
      </c>
      <c r="D32" s="179">
        <v>17012</v>
      </c>
      <c r="E32" s="185">
        <f t="shared" si="4"/>
        <v>30.6216</v>
      </c>
      <c r="F32" s="222">
        <v>30</v>
      </c>
      <c r="G32" s="190"/>
      <c r="H32" s="190"/>
      <c r="I32" s="190"/>
      <c r="J32" s="190"/>
      <c r="M32" s="46">
        <f t="shared" si="3"/>
        <v>125</v>
      </c>
      <c r="N32" s="192">
        <f t="shared" si="2"/>
        <v>0.059101262000265026</v>
      </c>
    </row>
    <row r="33" spans="1:14" s="162" customFormat="1" ht="12.75">
      <c r="A33" s="219" t="s">
        <v>235</v>
      </c>
      <c r="B33">
        <v>6</v>
      </c>
      <c r="C33" s="221">
        <v>0.001</v>
      </c>
      <c r="D33" s="179">
        <v>6337</v>
      </c>
      <c r="E33" s="185">
        <f t="shared" si="4"/>
        <v>6.337</v>
      </c>
      <c r="F33" s="222">
        <v>8</v>
      </c>
      <c r="G33" s="190"/>
      <c r="H33" s="190"/>
      <c r="I33" s="190"/>
      <c r="J33" s="190"/>
      <c r="M33" s="46">
        <f t="shared" si="3"/>
        <v>124</v>
      </c>
      <c r="N33" s="192">
        <f t="shared" si="2"/>
        <v>0.049504377677402886</v>
      </c>
    </row>
    <row r="34" spans="1:14" s="162" customFormat="1" ht="12.75">
      <c r="A34"/>
      <c r="B34">
        <v>7</v>
      </c>
      <c r="C34" s="221">
        <v>0</v>
      </c>
      <c r="D34" s="179">
        <v>0</v>
      </c>
      <c r="E34" s="185">
        <f t="shared" si="4"/>
        <v>0</v>
      </c>
      <c r="F34" s="222"/>
      <c r="G34" s="190"/>
      <c r="H34" s="190"/>
      <c r="I34" s="190"/>
      <c r="J34" s="190"/>
      <c r="M34" s="46">
        <f t="shared" si="3"/>
        <v>123</v>
      </c>
      <c r="N34" s="192">
        <f t="shared" si="2"/>
        <v>0.041173748924918326</v>
      </c>
    </row>
    <row r="35" spans="1:14" s="162" customFormat="1" ht="12.75">
      <c r="A35"/>
      <c r="B35">
        <v>8</v>
      </c>
      <c r="C35" s="221">
        <v>0</v>
      </c>
      <c r="D35" s="179">
        <v>0</v>
      </c>
      <c r="E35" s="185">
        <f t="shared" si="4"/>
        <v>0</v>
      </c>
      <c r="F35" s="222"/>
      <c r="G35" s="190"/>
      <c r="H35" s="190"/>
      <c r="I35" s="190"/>
      <c r="J35" s="190"/>
      <c r="M35" s="46">
        <f t="shared" si="3"/>
        <v>122</v>
      </c>
      <c r="N35" s="192">
        <f t="shared" si="2"/>
        <v>0.03400015194361221</v>
      </c>
    </row>
    <row r="36" spans="1:14" s="162" customFormat="1" ht="12.75">
      <c r="A36"/>
      <c r="B36" s="23" t="s">
        <v>216</v>
      </c>
      <c r="C36" s="67"/>
      <c r="D36" s="23">
        <f>SUM(D28:D35)</f>
        <v>312562</v>
      </c>
      <c r="E36" s="220">
        <f>SUM(E28:E35)</f>
        <v>136.3512</v>
      </c>
      <c r="F36" s="23">
        <f>SUM(F28:F35)</f>
        <v>144</v>
      </c>
      <c r="G36" s="190"/>
      <c r="H36" s="190"/>
      <c r="I36" s="190"/>
      <c r="J36" s="190"/>
      <c r="M36" s="46">
        <f t="shared" si="3"/>
        <v>121</v>
      </c>
      <c r="N36" s="192">
        <f t="shared" si="2"/>
        <v>0.027872704522079884</v>
      </c>
    </row>
    <row r="37" spans="1:14" s="162" customFormat="1" ht="12.75">
      <c r="A37"/>
      <c r="B37"/>
      <c r="C37"/>
      <c r="D37"/>
      <c r="E37"/>
      <c r="F37"/>
      <c r="G37" s="190"/>
      <c r="H37" s="190"/>
      <c r="I37" s="190"/>
      <c r="J37" s="190"/>
      <c r="M37" s="46">
        <f t="shared" si="3"/>
        <v>120</v>
      </c>
      <c r="N37" s="192">
        <f t="shared" si="2"/>
        <v>0.022681394901059488</v>
      </c>
    </row>
    <row r="38" spans="1:14" s="162" customFormat="1" ht="38.25">
      <c r="A38"/>
      <c r="B38"/>
      <c r="C38" s="378" t="s">
        <v>241</v>
      </c>
      <c r="D38" s="379"/>
      <c r="E38" s="380"/>
      <c r="F38" s="210">
        <f>(F36/E36)*100</f>
        <v>105.60963159840178</v>
      </c>
      <c r="G38" s="190"/>
      <c r="H38" s="190"/>
      <c r="I38" s="190"/>
      <c r="J38" s="190"/>
      <c r="L38" s="201"/>
      <c r="M38" s="46">
        <f>M37-1</f>
        <v>119</v>
      </c>
      <c r="N38" s="192">
        <f t="shared" si="2"/>
        <v>0.018319252788952023</v>
      </c>
    </row>
    <row r="39" spans="1:14" s="162" customFormat="1" ht="12.75">
      <c r="A39"/>
      <c r="B39"/>
      <c r="C39"/>
      <c r="D39"/>
      <c r="E39"/>
      <c r="F39"/>
      <c r="L39" s="201"/>
      <c r="M39" s="46">
        <f>M38-1</f>
        <v>118</v>
      </c>
      <c r="N39" s="192">
        <f t="shared" si="2"/>
        <v>0.014684134362195836</v>
      </c>
    </row>
    <row r="40" spans="1:14" s="162" customFormat="1" ht="12">
      <c r="A40"/>
      <c r="B40"/>
      <c r="C40" s="400" t="s">
        <v>249</v>
      </c>
      <c r="D40" s="308"/>
      <c r="E40" s="309"/>
      <c r="F40" s="210">
        <v>88</v>
      </c>
      <c r="M40" s="46">
        <f>M39-1</f>
        <v>117</v>
      </c>
      <c r="N40" s="192">
        <f t="shared" si="2"/>
        <v>0.01168011288452926</v>
      </c>
    </row>
    <row r="41" spans="1:14" s="162" customFormat="1" ht="12">
      <c r="A41"/>
      <c r="B41"/>
      <c r="C41" s="400" t="s">
        <v>250</v>
      </c>
      <c r="D41" s="308"/>
      <c r="E41" s="309"/>
      <c r="F41" s="210">
        <v>123</v>
      </c>
      <c r="G41" s="190"/>
      <c r="H41" s="190"/>
      <c r="I41" s="190"/>
      <c r="J41" s="190"/>
      <c r="M41" s="46">
        <f>M40-1</f>
        <v>116</v>
      </c>
      <c r="N41" s="192">
        <f t="shared" si="2"/>
        <v>0.009218484173663576</v>
      </c>
    </row>
    <row r="42" spans="4:14" s="162" customFormat="1" ht="12">
      <c r="D42" s="191"/>
      <c r="E42" s="191"/>
      <c r="F42" s="189"/>
      <c r="G42" s="190"/>
      <c r="H42" s="190"/>
      <c r="I42" s="190"/>
      <c r="J42" s="190"/>
      <c r="M42" s="46">
        <f>M41-1</f>
        <v>115</v>
      </c>
      <c r="N42" s="192">
        <f t="shared" si="2"/>
        <v>0.0072184108460852225</v>
      </c>
    </row>
    <row r="43" spans="7:10" s="162" customFormat="1" ht="12">
      <c r="G43" s="189"/>
      <c r="H43" s="189"/>
      <c r="I43" s="189"/>
      <c r="J43" s="189"/>
    </row>
    <row r="44" spans="4:6" s="162" customFormat="1" ht="12">
      <c r="D44" s="196"/>
      <c r="E44" s="197"/>
      <c r="F44" s="197"/>
    </row>
    <row r="45" spans="3:6" s="162" customFormat="1" ht="12">
      <c r="C45" s="195"/>
      <c r="D45" s="197"/>
      <c r="E45" s="197"/>
      <c r="F45" s="197"/>
    </row>
    <row r="46" spans="3:10" s="162" customFormat="1" ht="12">
      <c r="C46" s="195"/>
      <c r="D46" s="197"/>
      <c r="E46" s="197"/>
      <c r="F46" s="197"/>
      <c r="G46" s="197"/>
      <c r="H46" s="197"/>
      <c r="I46" s="197"/>
      <c r="J46" s="197"/>
    </row>
    <row r="47" spans="2:10" s="162" customFormat="1" ht="12">
      <c r="B47" s="198"/>
      <c r="C47" s="195"/>
      <c r="D47" s="200"/>
      <c r="E47" s="200"/>
      <c r="F47" s="190"/>
      <c r="G47" s="197"/>
      <c r="H47" s="197"/>
      <c r="I47" s="197"/>
      <c r="J47" s="197"/>
    </row>
    <row r="48" spans="3:13" s="162" customFormat="1" ht="12">
      <c r="C48" s="199"/>
      <c r="D48" s="200"/>
      <c r="E48" s="200"/>
      <c r="F48" s="190"/>
      <c r="G48" s="190"/>
      <c r="H48" s="190"/>
      <c r="I48" s="190"/>
      <c r="J48" s="190"/>
      <c r="L48" s="201"/>
      <c r="M48" s="201"/>
    </row>
    <row r="49" spans="3:13" s="162" customFormat="1" ht="12">
      <c r="C49" s="199"/>
      <c r="D49" s="200"/>
      <c r="E49" s="200"/>
      <c r="F49" s="190"/>
      <c r="G49" s="190"/>
      <c r="H49" s="190"/>
      <c r="I49" s="190"/>
      <c r="J49" s="190"/>
      <c r="L49" s="201"/>
      <c r="M49" s="201"/>
    </row>
    <row r="50" spans="3:13" s="162" customFormat="1" ht="12">
      <c r="C50" s="199"/>
      <c r="D50" s="200"/>
      <c r="E50" s="200"/>
      <c r="F50" s="190"/>
      <c r="G50" s="190"/>
      <c r="H50" s="190"/>
      <c r="I50" s="190"/>
      <c r="J50" s="190"/>
      <c r="L50" s="201"/>
      <c r="M50" s="201"/>
    </row>
    <row r="51" spans="3:13" s="162" customFormat="1" ht="12">
      <c r="C51" s="199"/>
      <c r="D51" s="200"/>
      <c r="E51" s="200"/>
      <c r="F51" s="190"/>
      <c r="G51" s="190"/>
      <c r="H51" s="190"/>
      <c r="I51" s="190"/>
      <c r="J51" s="190"/>
      <c r="L51" s="201"/>
      <c r="M51" s="201"/>
    </row>
    <row r="52" spans="3:13" s="162" customFormat="1" ht="12">
      <c r="C52" s="199"/>
      <c r="D52" s="200"/>
      <c r="E52" s="200"/>
      <c r="F52" s="190"/>
      <c r="G52" s="190"/>
      <c r="H52" s="190"/>
      <c r="I52" s="190"/>
      <c r="J52" s="190"/>
      <c r="L52" s="201"/>
      <c r="M52" s="201"/>
    </row>
    <row r="53" spans="3:13" s="162" customFormat="1" ht="12">
      <c r="C53" s="199"/>
      <c r="D53" s="200"/>
      <c r="E53" s="200"/>
      <c r="F53" s="190"/>
      <c r="G53" s="190"/>
      <c r="H53" s="190"/>
      <c r="I53" s="190"/>
      <c r="J53" s="190"/>
      <c r="L53" s="201"/>
      <c r="M53" s="201"/>
    </row>
    <row r="54" spans="3:13" s="162" customFormat="1" ht="12">
      <c r="C54" s="199"/>
      <c r="D54" s="200"/>
      <c r="E54" s="200"/>
      <c r="F54" s="190"/>
      <c r="G54" s="190"/>
      <c r="H54" s="190"/>
      <c r="I54" s="190"/>
      <c r="J54" s="190"/>
      <c r="L54" s="201"/>
      <c r="M54" s="201"/>
    </row>
    <row r="55" spans="3:13" s="162" customFormat="1" ht="12">
      <c r="C55" s="199"/>
      <c r="G55" s="190"/>
      <c r="H55" s="190"/>
      <c r="I55" s="190"/>
      <c r="J55" s="190"/>
      <c r="L55" s="201"/>
      <c r="M55" s="201"/>
    </row>
    <row r="56" spans="3:13" s="162" customFormat="1" ht="12">
      <c r="C56" s="202"/>
      <c r="D56" s="191"/>
      <c r="E56" s="191"/>
      <c r="F56" s="189"/>
      <c r="L56" s="201"/>
      <c r="M56" s="201"/>
    </row>
    <row r="57" spans="4:6" s="162" customFormat="1" ht="12">
      <c r="D57" s="191"/>
      <c r="E57" s="191"/>
      <c r="F57" s="189"/>
    </row>
    <row r="58" spans="4:10" s="162" customFormat="1" ht="12">
      <c r="D58" s="191"/>
      <c r="E58" s="191"/>
      <c r="F58" s="189"/>
      <c r="G58" s="190"/>
      <c r="H58" s="190"/>
      <c r="I58" s="190"/>
      <c r="J58" s="190"/>
    </row>
    <row r="59" spans="4:10" s="162" customFormat="1" ht="12">
      <c r="D59" s="191"/>
      <c r="E59" s="191"/>
      <c r="F59" s="189"/>
      <c r="G59" s="190"/>
      <c r="H59" s="190"/>
      <c r="I59" s="190"/>
      <c r="J59" s="190"/>
    </row>
    <row r="60" spans="7:10" s="162" customFormat="1" ht="12">
      <c r="G60" s="189"/>
      <c r="H60" s="189"/>
      <c r="I60" s="189"/>
      <c r="J60" s="189"/>
    </row>
    <row r="61" s="162" customFormat="1" ht="12"/>
    <row r="62" s="162" customFormat="1" ht="12"/>
    <row r="63" s="162" customFormat="1" ht="12"/>
    <row r="64" s="162" customFormat="1" ht="12"/>
    <row r="65" s="162" customFormat="1" ht="12"/>
    <row r="66" s="162" customFormat="1" ht="12"/>
    <row r="67" s="162" customFormat="1" ht="12"/>
    <row r="68" spans="4:6" s="162" customFormat="1" ht="12">
      <c r="D68"/>
      <c r="E68"/>
      <c r="F68"/>
    </row>
  </sheetData>
  <sheetProtection password="C774" sheet="1" objects="1" scenarios="1"/>
  <mergeCells count="18">
    <mergeCell ref="C38:E38"/>
    <mergeCell ref="C40:E40"/>
    <mergeCell ref="C41:E41"/>
    <mergeCell ref="C20:E20"/>
    <mergeCell ref="C21:E21"/>
    <mergeCell ref="C25:C27"/>
    <mergeCell ref="D25:D27"/>
    <mergeCell ref="E25:E27"/>
    <mergeCell ref="F25:F27"/>
    <mergeCell ref="C18:E18"/>
    <mergeCell ref="A1:I1"/>
    <mergeCell ref="A2:I3"/>
    <mergeCell ref="P10:Q11"/>
    <mergeCell ref="N8:Q8"/>
    <mergeCell ref="F5:F7"/>
    <mergeCell ref="C5:C7"/>
    <mergeCell ref="D5:D7"/>
    <mergeCell ref="E5:E7"/>
  </mergeCells>
  <hyperlinks>
    <hyperlink ref="K1" location="'Main Menu'!A1" display="Main Menu"/>
  </hyperlink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O51"/>
  <sheetViews>
    <sheetView workbookViewId="0" topLeftCell="A1">
      <selection activeCell="J1" sqref="J1"/>
    </sheetView>
  </sheetViews>
  <sheetFormatPr defaultColWidth="8.8515625" defaultRowHeight="12.75"/>
  <cols>
    <col min="1" max="1" width="8.8515625" style="0" customWidth="1"/>
    <col min="2" max="2" width="18.421875" style="0" customWidth="1"/>
    <col min="3" max="9" width="8.8515625" style="0" customWidth="1"/>
    <col min="10" max="10" width="28.421875" style="0" customWidth="1"/>
    <col min="11" max="11" width="7.421875" style="0" customWidth="1"/>
    <col min="12" max="12" width="10.421875" style="0" customWidth="1"/>
  </cols>
  <sheetData>
    <row r="1" spans="10:12" ht="36.75" customHeight="1">
      <c r="J1" s="245" t="s">
        <v>270</v>
      </c>
      <c r="L1" s="164" t="s">
        <v>193</v>
      </c>
    </row>
    <row r="2" spans="1:12" ht="21.75" customHeight="1">
      <c r="A2" s="58" t="s">
        <v>96</v>
      </c>
      <c r="B2" s="59"/>
      <c r="C2" s="59"/>
      <c r="D2" s="59"/>
      <c r="E2" s="59"/>
      <c r="F2" s="59"/>
      <c r="G2" s="59"/>
      <c r="H2" s="59"/>
      <c r="I2" s="59"/>
      <c r="J2" s="59"/>
      <c r="K2" s="274" t="s">
        <v>97</v>
      </c>
      <c r="L2" s="274"/>
    </row>
    <row r="3" spans="1:12" ht="12">
      <c r="A3" s="41" t="s">
        <v>61</v>
      </c>
      <c r="B3" s="41"/>
      <c r="K3" s="60" t="s">
        <v>61</v>
      </c>
      <c r="L3" s="41"/>
    </row>
    <row r="4" spans="1:11" ht="12">
      <c r="A4" s="56">
        <v>22</v>
      </c>
      <c r="B4" s="55"/>
      <c r="C4" s="54"/>
      <c r="D4" s="54"/>
      <c r="E4" s="54"/>
      <c r="F4" s="54"/>
      <c r="G4" s="54"/>
      <c r="H4" s="54"/>
      <c r="I4" s="54"/>
      <c r="J4" s="276" t="e">
        <f>STDEV(A4:I4)</f>
        <v>#DIV/0!</v>
      </c>
      <c r="K4" s="56">
        <v>23</v>
      </c>
    </row>
    <row r="5" spans="1:12" ht="12">
      <c r="A5" s="56">
        <v>23</v>
      </c>
      <c r="B5" s="54"/>
      <c r="C5" s="54"/>
      <c r="D5" s="54"/>
      <c r="E5" s="54"/>
      <c r="F5" s="54"/>
      <c r="G5" s="54"/>
      <c r="H5" s="54"/>
      <c r="I5" s="54"/>
      <c r="J5" s="277"/>
      <c r="K5" s="56">
        <v>24</v>
      </c>
      <c r="L5" s="41"/>
    </row>
    <row r="6" spans="1:12" ht="12">
      <c r="A6" s="56">
        <v>23</v>
      </c>
      <c r="B6" s="54"/>
      <c r="C6" s="54"/>
      <c r="D6" s="54"/>
      <c r="E6" s="54"/>
      <c r="F6" s="54"/>
      <c r="G6" s="54"/>
      <c r="H6" s="54"/>
      <c r="I6" s="54"/>
      <c r="J6" s="277"/>
      <c r="K6" s="56">
        <v>24</v>
      </c>
      <c r="L6" s="41"/>
    </row>
    <row r="7" spans="1:12" ht="12">
      <c r="A7" s="56">
        <v>23</v>
      </c>
      <c r="B7" s="54"/>
      <c r="C7" s="54"/>
      <c r="D7" s="54"/>
      <c r="E7" s="54"/>
      <c r="F7" s="54"/>
      <c r="G7" s="54"/>
      <c r="H7" s="54"/>
      <c r="I7" s="54"/>
      <c r="J7" s="277"/>
      <c r="K7" s="56">
        <v>25</v>
      </c>
      <c r="L7" s="41"/>
    </row>
    <row r="8" spans="1:12" ht="12">
      <c r="A8" s="56">
        <v>24</v>
      </c>
      <c r="B8" s="54"/>
      <c r="C8" s="54"/>
      <c r="D8" s="54"/>
      <c r="E8" s="54"/>
      <c r="F8" s="54"/>
      <c r="G8" s="54"/>
      <c r="H8" s="54"/>
      <c r="I8" s="54"/>
      <c r="J8" s="277"/>
      <c r="K8" s="56">
        <v>25</v>
      </c>
      <c r="L8" s="41"/>
    </row>
    <row r="9" spans="1:12" ht="12">
      <c r="A9" s="56">
        <v>24</v>
      </c>
      <c r="B9" s="54"/>
      <c r="C9" s="54"/>
      <c r="D9" s="54"/>
      <c r="E9" s="54"/>
      <c r="F9" s="54"/>
      <c r="G9" s="54"/>
      <c r="H9" s="54"/>
      <c r="I9" s="54"/>
      <c r="J9" s="277"/>
      <c r="K9" s="56">
        <v>25</v>
      </c>
      <c r="L9" s="41"/>
    </row>
    <row r="10" spans="1:12" ht="12">
      <c r="A10" s="56">
        <v>25</v>
      </c>
      <c r="B10" s="54"/>
      <c r="C10" s="54"/>
      <c r="D10" s="54"/>
      <c r="E10" s="54"/>
      <c r="F10" s="54"/>
      <c r="G10" s="54"/>
      <c r="H10" s="54"/>
      <c r="I10" s="54"/>
      <c r="J10" s="277"/>
      <c r="K10" s="56">
        <v>25</v>
      </c>
      <c r="L10" s="41"/>
    </row>
    <row r="11" spans="1:12" ht="12">
      <c r="A11" s="56">
        <v>25</v>
      </c>
      <c r="B11" s="54"/>
      <c r="C11" s="54"/>
      <c r="D11" s="54"/>
      <c r="E11" s="54"/>
      <c r="F11" s="54"/>
      <c r="G11" s="54"/>
      <c r="H11" s="54"/>
      <c r="I11" s="54"/>
      <c r="J11" s="277"/>
      <c r="K11" s="56">
        <v>25</v>
      </c>
      <c r="L11" s="41"/>
    </row>
    <row r="12" spans="1:12" ht="12">
      <c r="A12" s="56">
        <v>25</v>
      </c>
      <c r="B12" s="54"/>
      <c r="C12" s="54"/>
      <c r="D12" s="54"/>
      <c r="E12" s="54"/>
      <c r="F12" s="54"/>
      <c r="G12" s="54"/>
      <c r="H12" s="54"/>
      <c r="I12" s="54"/>
      <c r="J12" s="277"/>
      <c r="K12" s="56">
        <v>26</v>
      </c>
      <c r="L12" s="41"/>
    </row>
    <row r="13" spans="1:12" ht="12">
      <c r="A13" s="56">
        <v>25</v>
      </c>
      <c r="B13" s="54"/>
      <c r="C13" s="54"/>
      <c r="D13" s="54"/>
      <c r="E13" s="54"/>
      <c r="F13" s="54"/>
      <c r="G13" s="54"/>
      <c r="H13" s="54"/>
      <c r="I13" s="54"/>
      <c r="J13" s="277"/>
      <c r="K13" s="56">
        <v>26</v>
      </c>
      <c r="L13" s="41"/>
    </row>
    <row r="14" spans="1:11" ht="12">
      <c r="A14" s="56">
        <v>25</v>
      </c>
      <c r="B14" s="54"/>
      <c r="C14" s="54"/>
      <c r="D14" s="54"/>
      <c r="E14" s="54"/>
      <c r="F14" s="54"/>
      <c r="G14" s="54"/>
      <c r="H14" s="54"/>
      <c r="I14" s="54"/>
      <c r="J14" s="277"/>
      <c r="K14" s="56">
        <v>26</v>
      </c>
    </row>
    <row r="15" spans="1:12" ht="12">
      <c r="A15" s="56">
        <v>26</v>
      </c>
      <c r="B15" s="54"/>
      <c r="C15" s="54"/>
      <c r="D15" s="54"/>
      <c r="E15" s="54"/>
      <c r="F15" s="54"/>
      <c r="G15" s="54"/>
      <c r="H15" s="54"/>
      <c r="I15" s="54"/>
      <c r="J15" s="277"/>
      <c r="K15" s="56">
        <v>26</v>
      </c>
      <c r="L15" s="41"/>
    </row>
    <row r="16" spans="1:12" ht="12">
      <c r="A16" s="56">
        <v>26</v>
      </c>
      <c r="B16" s="54"/>
      <c r="C16" s="54"/>
      <c r="D16" s="54"/>
      <c r="E16" s="54"/>
      <c r="F16" s="54"/>
      <c r="G16" s="54"/>
      <c r="H16" s="54"/>
      <c r="I16" s="54"/>
      <c r="J16" s="277"/>
      <c r="K16" s="56">
        <v>26</v>
      </c>
      <c r="L16" s="41"/>
    </row>
    <row r="17" spans="1:12" ht="12">
      <c r="A17" s="56">
        <v>26</v>
      </c>
      <c r="B17" s="54"/>
      <c r="C17" s="54"/>
      <c r="D17" s="54"/>
      <c r="E17" s="54"/>
      <c r="F17" s="54"/>
      <c r="G17" s="54"/>
      <c r="H17" s="54"/>
      <c r="I17" s="54"/>
      <c r="J17" s="277"/>
      <c r="K17" s="56">
        <v>26</v>
      </c>
      <c r="L17" s="41"/>
    </row>
    <row r="18" spans="1:12" ht="12">
      <c r="A18" s="56">
        <v>26</v>
      </c>
      <c r="B18" s="53" t="s">
        <v>98</v>
      </c>
      <c r="J18" s="277"/>
      <c r="K18" s="56">
        <v>26</v>
      </c>
      <c r="L18" s="41"/>
    </row>
    <row r="19" spans="1:15" ht="12">
      <c r="A19" s="56">
        <v>26</v>
      </c>
      <c r="J19" s="277"/>
      <c r="K19" s="56">
        <v>27</v>
      </c>
      <c r="N19" s="273" t="s">
        <v>94</v>
      </c>
      <c r="O19" s="273"/>
    </row>
    <row r="20" spans="1:11" ht="12">
      <c r="A20" s="56">
        <v>26</v>
      </c>
      <c r="D20" s="273" t="s">
        <v>94</v>
      </c>
      <c r="E20" s="273"/>
      <c r="F20" s="275"/>
      <c r="J20" s="277"/>
      <c r="K20" s="56">
        <v>27</v>
      </c>
    </row>
    <row r="21" spans="1:15" ht="12">
      <c r="A21" s="56">
        <v>26</v>
      </c>
      <c r="D21" t="s">
        <v>61</v>
      </c>
      <c r="E21" t="s">
        <v>95</v>
      </c>
      <c r="J21" s="277"/>
      <c r="K21" s="56">
        <v>27</v>
      </c>
      <c r="N21" t="s">
        <v>61</v>
      </c>
      <c r="O21" t="s">
        <v>95</v>
      </c>
    </row>
    <row r="22" spans="1:15" ht="12">
      <c r="A22" s="56">
        <v>27</v>
      </c>
      <c r="D22">
        <v>22</v>
      </c>
      <c r="E22">
        <v>1</v>
      </c>
      <c r="J22" s="277"/>
      <c r="K22" s="56">
        <v>27</v>
      </c>
      <c r="N22">
        <v>22</v>
      </c>
      <c r="O22">
        <v>0</v>
      </c>
    </row>
    <row r="23" spans="1:15" ht="12">
      <c r="A23" s="56">
        <v>27</v>
      </c>
      <c r="D23">
        <v>23</v>
      </c>
      <c r="E23">
        <v>3</v>
      </c>
      <c r="J23" s="277"/>
      <c r="K23" s="56">
        <v>27</v>
      </c>
      <c r="N23">
        <v>23</v>
      </c>
      <c r="O23">
        <v>1</v>
      </c>
    </row>
    <row r="24" spans="1:15" ht="12">
      <c r="A24" s="56">
        <v>27</v>
      </c>
      <c r="B24" s="41"/>
      <c r="D24">
        <v>24</v>
      </c>
      <c r="E24">
        <v>2</v>
      </c>
      <c r="J24" s="277"/>
      <c r="K24" s="56">
        <v>27</v>
      </c>
      <c r="L24" s="41"/>
      <c r="N24">
        <v>24</v>
      </c>
      <c r="O24">
        <v>2</v>
      </c>
    </row>
    <row r="25" spans="1:15" ht="12">
      <c r="A25" s="56">
        <v>27</v>
      </c>
      <c r="B25" s="41"/>
      <c r="D25">
        <v>25</v>
      </c>
      <c r="E25">
        <v>5</v>
      </c>
      <c r="J25" s="277"/>
      <c r="K25" s="56">
        <v>27</v>
      </c>
      <c r="L25" s="41"/>
      <c r="N25">
        <v>25</v>
      </c>
      <c r="O25">
        <v>5</v>
      </c>
    </row>
    <row r="26" spans="1:15" ht="12">
      <c r="A26" s="56">
        <v>27</v>
      </c>
      <c r="D26">
        <v>26</v>
      </c>
      <c r="E26">
        <v>7</v>
      </c>
      <c r="J26" s="277"/>
      <c r="K26" s="56">
        <v>27</v>
      </c>
      <c r="N26">
        <v>26</v>
      </c>
      <c r="O26">
        <v>7</v>
      </c>
    </row>
    <row r="27" spans="1:15" ht="12">
      <c r="A27" s="56">
        <v>27</v>
      </c>
      <c r="D27">
        <v>27</v>
      </c>
      <c r="E27">
        <v>9</v>
      </c>
      <c r="J27" s="277"/>
      <c r="K27" s="56">
        <v>27</v>
      </c>
      <c r="N27">
        <v>27</v>
      </c>
      <c r="O27">
        <v>14</v>
      </c>
    </row>
    <row r="28" spans="1:15" ht="12">
      <c r="A28" s="56">
        <v>27</v>
      </c>
      <c r="D28">
        <v>28</v>
      </c>
      <c r="E28">
        <v>6</v>
      </c>
      <c r="J28" s="277"/>
      <c r="K28" s="56">
        <v>27</v>
      </c>
      <c r="N28">
        <v>28</v>
      </c>
      <c r="O28">
        <v>6</v>
      </c>
    </row>
    <row r="29" spans="1:15" ht="12">
      <c r="A29" s="56">
        <v>27</v>
      </c>
      <c r="D29">
        <v>29</v>
      </c>
      <c r="E29">
        <v>5</v>
      </c>
      <c r="J29" s="277"/>
      <c r="K29" s="56">
        <v>27</v>
      </c>
      <c r="N29">
        <v>29</v>
      </c>
      <c r="O29">
        <v>5</v>
      </c>
    </row>
    <row r="30" spans="1:15" ht="12">
      <c r="A30" s="56">
        <v>27</v>
      </c>
      <c r="D30">
        <v>30</v>
      </c>
      <c r="E30">
        <v>3</v>
      </c>
      <c r="J30" s="277"/>
      <c r="K30" s="56">
        <v>27</v>
      </c>
      <c r="N30">
        <v>30</v>
      </c>
      <c r="O30">
        <v>3</v>
      </c>
    </row>
    <row r="31" spans="1:15" ht="12">
      <c r="A31" s="56">
        <v>28</v>
      </c>
      <c r="B31" s="41"/>
      <c r="D31">
        <v>31</v>
      </c>
      <c r="E31">
        <v>1</v>
      </c>
      <c r="J31" s="277"/>
      <c r="K31" s="56">
        <v>27</v>
      </c>
      <c r="L31" s="41"/>
      <c r="N31">
        <v>31</v>
      </c>
      <c r="O31">
        <v>1</v>
      </c>
    </row>
    <row r="32" spans="1:15" ht="12">
      <c r="A32" s="56">
        <v>28</v>
      </c>
      <c r="B32" s="41"/>
      <c r="D32">
        <v>32</v>
      </c>
      <c r="E32">
        <v>1</v>
      </c>
      <c r="J32" s="277"/>
      <c r="K32" s="56">
        <v>27</v>
      </c>
      <c r="L32" s="41"/>
      <c r="N32">
        <v>32</v>
      </c>
      <c r="O32">
        <v>0</v>
      </c>
    </row>
    <row r="33" spans="1:15" ht="12">
      <c r="A33" s="56">
        <v>28</v>
      </c>
      <c r="D33">
        <v>33</v>
      </c>
      <c r="E33">
        <v>1</v>
      </c>
      <c r="J33" s="277"/>
      <c r="K33" s="56">
        <v>28</v>
      </c>
      <c r="N33">
        <v>33</v>
      </c>
      <c r="O33">
        <v>0</v>
      </c>
    </row>
    <row r="34" spans="1:11" ht="12">
      <c r="A34" s="56">
        <v>28</v>
      </c>
      <c r="J34" s="277"/>
      <c r="K34" s="56">
        <v>28</v>
      </c>
    </row>
    <row r="35" spans="1:11" ht="12">
      <c r="A35" s="56">
        <v>28</v>
      </c>
      <c r="J35" s="277"/>
      <c r="K35" s="56">
        <v>28</v>
      </c>
    </row>
    <row r="36" spans="1:11" ht="12">
      <c r="A36" s="56">
        <v>28</v>
      </c>
      <c r="J36" s="277"/>
      <c r="K36" s="56">
        <v>28</v>
      </c>
    </row>
    <row r="37" spans="1:11" ht="12">
      <c r="A37" s="56">
        <v>29</v>
      </c>
      <c r="J37" s="277"/>
      <c r="K37" s="56">
        <v>28</v>
      </c>
    </row>
    <row r="38" spans="1:11" ht="12">
      <c r="A38" s="56">
        <v>29</v>
      </c>
      <c r="J38" s="277"/>
      <c r="K38" s="56">
        <v>28</v>
      </c>
    </row>
    <row r="39" spans="1:11" ht="12">
      <c r="A39" s="56">
        <v>29</v>
      </c>
      <c r="J39" s="277"/>
      <c r="K39" s="56">
        <v>29</v>
      </c>
    </row>
    <row r="40" spans="1:11" ht="12">
      <c r="A40" s="56">
        <v>29</v>
      </c>
      <c r="J40" s="277"/>
      <c r="K40" s="56">
        <v>29</v>
      </c>
    </row>
    <row r="41" spans="1:11" ht="12">
      <c r="A41" s="56">
        <v>29</v>
      </c>
      <c r="J41" s="277"/>
      <c r="K41" s="56">
        <v>29</v>
      </c>
    </row>
    <row r="42" spans="1:12" ht="12">
      <c r="A42" s="56">
        <v>30</v>
      </c>
      <c r="B42" s="41"/>
      <c r="J42" s="277"/>
      <c r="K42" s="56">
        <v>29</v>
      </c>
      <c r="L42" s="41"/>
    </row>
    <row r="43" spans="1:12" ht="12">
      <c r="A43" s="56">
        <v>30</v>
      </c>
      <c r="B43" s="41"/>
      <c r="J43" s="277"/>
      <c r="K43" s="56">
        <v>29</v>
      </c>
      <c r="L43" s="41"/>
    </row>
    <row r="44" spans="1:11" ht="12">
      <c r="A44" s="56">
        <v>30</v>
      </c>
      <c r="J44" s="277"/>
      <c r="K44" s="56">
        <v>30</v>
      </c>
    </row>
    <row r="45" spans="1:12" ht="12">
      <c r="A45" s="56">
        <v>31</v>
      </c>
      <c r="B45" s="41"/>
      <c r="J45" s="277"/>
      <c r="K45" s="56">
        <v>30</v>
      </c>
      <c r="L45" s="41"/>
    </row>
    <row r="46" spans="1:12" ht="12">
      <c r="A46" s="56">
        <v>32</v>
      </c>
      <c r="B46" s="41"/>
      <c r="J46" s="277"/>
      <c r="K46" s="56">
        <v>30</v>
      </c>
      <c r="L46" s="41"/>
    </row>
    <row r="47" spans="1:12" ht="12">
      <c r="A47" s="56">
        <v>33</v>
      </c>
      <c r="B47" s="41"/>
      <c r="J47" s="277"/>
      <c r="K47" s="56">
        <v>31</v>
      </c>
      <c r="L47" s="41"/>
    </row>
    <row r="48" spans="1:13" ht="12">
      <c r="A48" s="43">
        <f>AVERAGE(A4:A47)</f>
        <v>27</v>
      </c>
      <c r="B48" s="57" t="s">
        <v>74</v>
      </c>
      <c r="C48" s="44"/>
      <c r="K48" s="43">
        <f>AVERAGE(K4:K47)</f>
        <v>27.045454545454547</v>
      </c>
      <c r="L48" s="57" t="s">
        <v>74</v>
      </c>
      <c r="M48" s="44"/>
    </row>
    <row r="49" spans="1:12" ht="12.75">
      <c r="A49" s="43">
        <f>VAR(A4:A47)</f>
        <v>5.767441860465116</v>
      </c>
      <c r="B49" s="57" t="s">
        <v>67</v>
      </c>
      <c r="K49" s="43">
        <f>VAR(K4:K47)</f>
        <v>3.021141649048623</v>
      </c>
      <c r="L49" s="57" t="s">
        <v>67</v>
      </c>
    </row>
    <row r="50" spans="1:12" ht="12.75">
      <c r="A50" s="43">
        <f>STDEV(A4:A47)</f>
        <v>2.401549887148946</v>
      </c>
      <c r="B50" s="57" t="s">
        <v>93</v>
      </c>
      <c r="K50" s="43">
        <f>STDEV(K4:K47)</f>
        <v>1.7381431612639457</v>
      </c>
      <c r="L50" s="57" t="s">
        <v>93</v>
      </c>
    </row>
    <row r="51" spans="1:12" ht="12">
      <c r="A51" s="43"/>
      <c r="B51" s="57"/>
      <c r="K51" s="43"/>
      <c r="L51" s="57"/>
    </row>
  </sheetData>
  <sheetProtection password="C774" sheet="1" objects="1" scenarios="1"/>
  <mergeCells count="4">
    <mergeCell ref="N19:O19"/>
    <mergeCell ref="K2:L2"/>
    <mergeCell ref="D20:F20"/>
    <mergeCell ref="J4:J47"/>
  </mergeCells>
  <hyperlinks>
    <hyperlink ref="L1" location="'Main Menu'!A1" display="Main Menu"/>
  </hyperlinks>
  <printOptions/>
  <pageMargins left="0.75" right="0.75" top="1" bottom="1" header="0.5" footer="0.5"/>
  <pageSetup horizontalDpi="300" verticalDpi="300" orientation="portrait"/>
  <drawing r:id="rId1"/>
</worksheet>
</file>

<file path=xl/worksheets/sheet20.xml><?xml version="1.0" encoding="utf-8"?>
<worksheet xmlns="http://schemas.openxmlformats.org/spreadsheetml/2006/main" xmlns:r="http://schemas.openxmlformats.org/officeDocument/2006/relationships">
  <dimension ref="A1:M59"/>
  <sheetViews>
    <sheetView workbookViewId="0" topLeftCell="A1">
      <selection activeCell="M1" sqref="M1"/>
    </sheetView>
  </sheetViews>
  <sheetFormatPr defaultColWidth="8.8515625" defaultRowHeight="12.75"/>
  <cols>
    <col min="1" max="1" width="8.8515625" style="0" customWidth="1"/>
    <col min="2" max="2" width="7.7109375" style="0" customWidth="1"/>
    <col min="3" max="3" width="13.8515625" style="0" customWidth="1"/>
    <col min="4" max="4" width="11.7109375" style="0" customWidth="1"/>
    <col min="5" max="5" width="8.8515625" style="0" customWidth="1"/>
    <col min="6" max="6" width="11.421875" style="0" customWidth="1"/>
    <col min="7" max="7" width="10.421875" style="0" customWidth="1"/>
    <col min="8" max="9" width="8.8515625" style="0" customWidth="1"/>
    <col min="10" max="11" width="10.421875" style="0" bestFit="1" customWidth="1"/>
    <col min="12" max="12" width="7.28125" style="0" customWidth="1"/>
    <col min="13" max="13" width="11.28125" style="0" customWidth="1"/>
  </cols>
  <sheetData>
    <row r="1" spans="1:13" ht="29.25" customHeight="1">
      <c r="A1" s="381" t="s">
        <v>224</v>
      </c>
      <c r="B1" s="416"/>
      <c r="C1" s="416"/>
      <c r="D1" s="416"/>
      <c r="E1" s="416"/>
      <c r="F1" s="416"/>
      <c r="G1" s="416"/>
      <c r="H1" s="417"/>
      <c r="I1" s="417"/>
      <c r="J1" s="417"/>
      <c r="K1" s="418"/>
      <c r="M1" s="167" t="s">
        <v>193</v>
      </c>
    </row>
    <row r="2" spans="1:11" ht="29.25" customHeight="1">
      <c r="A2" s="419" t="s">
        <v>223</v>
      </c>
      <c r="B2" s="420"/>
      <c r="C2" s="420"/>
      <c r="D2" s="420"/>
      <c r="E2" s="420"/>
      <c r="F2" s="420"/>
      <c r="G2" s="420"/>
      <c r="H2" s="420"/>
      <c r="I2" s="420"/>
      <c r="J2" s="420"/>
      <c r="K2" s="421"/>
    </row>
    <row r="3" spans="1:13" ht="12">
      <c r="A3" s="404" t="s">
        <v>230</v>
      </c>
      <c r="B3" s="405"/>
      <c r="C3" s="405"/>
      <c r="D3" s="405"/>
      <c r="E3" s="405"/>
      <c r="F3" s="405"/>
      <c r="G3" s="405"/>
      <c r="H3" s="405"/>
      <c r="I3" s="405"/>
      <c r="J3" s="405"/>
      <c r="K3" s="405"/>
      <c r="L3" s="405"/>
      <c r="M3" s="406"/>
    </row>
    <row r="4" spans="1:13" ht="12">
      <c r="A4" s="407"/>
      <c r="B4" s="408"/>
      <c r="C4" s="408"/>
      <c r="D4" s="408"/>
      <c r="E4" s="408"/>
      <c r="F4" s="408"/>
      <c r="G4" s="408"/>
      <c r="H4" s="408"/>
      <c r="I4" s="408"/>
      <c r="J4" s="408"/>
      <c r="K4" s="408"/>
      <c r="L4" s="408"/>
      <c r="M4" s="409"/>
    </row>
    <row r="5" ht="12.75" customHeight="1">
      <c r="C5" s="414" t="s">
        <v>214</v>
      </c>
    </row>
    <row r="6" spans="3:8" ht="12.75" customHeight="1">
      <c r="C6" s="414"/>
      <c r="E6" s="410" t="s">
        <v>211</v>
      </c>
      <c r="F6" s="410" t="s">
        <v>212</v>
      </c>
      <c r="G6" s="410" t="s">
        <v>213</v>
      </c>
      <c r="H6" s="410" t="s">
        <v>207</v>
      </c>
    </row>
    <row r="7" spans="1:8" ht="12">
      <c r="A7" t="s">
        <v>215</v>
      </c>
      <c r="B7" s="23" t="s">
        <v>206</v>
      </c>
      <c r="C7" s="415"/>
      <c r="E7" s="411"/>
      <c r="F7" s="411"/>
      <c r="G7" s="411"/>
      <c r="H7" s="411"/>
    </row>
    <row r="8" spans="1:11" ht="12">
      <c r="A8" s="2" t="s">
        <v>217</v>
      </c>
      <c r="B8">
        <v>1</v>
      </c>
      <c r="C8" s="175">
        <v>0.07</v>
      </c>
      <c r="E8" s="172">
        <v>2414</v>
      </c>
      <c r="F8" s="172">
        <v>850000</v>
      </c>
      <c r="G8" s="173">
        <f>E8/F8</f>
        <v>0.00284</v>
      </c>
      <c r="H8" s="173">
        <f>SQRT(G8*(1-G8)/F8)</f>
        <v>5.772077207913772E-05</v>
      </c>
      <c r="J8" s="174">
        <f>G8*C8</f>
        <v>0.00019880000000000003</v>
      </c>
      <c r="K8" s="174">
        <f>(H8*C8)^2</f>
        <v>1.6325268894117653E-11</v>
      </c>
    </row>
    <row r="9" spans="1:11" ht="12">
      <c r="A9" s="2" t="s">
        <v>218</v>
      </c>
      <c r="B9">
        <v>2</v>
      </c>
      <c r="C9" s="175">
        <v>0.22</v>
      </c>
      <c r="E9" s="171">
        <v>1300</v>
      </c>
      <c r="F9" s="171">
        <v>2280000</v>
      </c>
      <c r="G9" s="173">
        <f aca="true" t="shared" si="0" ref="G9:G15">E9/F9</f>
        <v>0.0005701754385964912</v>
      </c>
      <c r="H9" s="173">
        <f aca="true" t="shared" si="1" ref="H9:H15">SQRT(G9*(1-G9)/F9)</f>
        <v>1.5809312414524844E-05</v>
      </c>
      <c r="J9" s="174">
        <f aca="true" t="shared" si="2" ref="J9:J15">G9*C9</f>
        <v>0.00012543859649122806</v>
      </c>
      <c r="K9" s="174">
        <f aca="true" t="shared" si="3" ref="K9:K15">(H9*C9)^2</f>
        <v>1.2096822976570387E-11</v>
      </c>
    </row>
    <row r="10" spans="1:11" ht="12">
      <c r="A10" s="2" t="s">
        <v>219</v>
      </c>
      <c r="B10">
        <v>3</v>
      </c>
      <c r="C10" s="175">
        <v>0.4</v>
      </c>
      <c r="E10" s="171">
        <v>8732</v>
      </c>
      <c r="F10" s="171">
        <v>4410000</v>
      </c>
      <c r="G10" s="173">
        <f t="shared" si="0"/>
        <v>0.001980045351473923</v>
      </c>
      <c r="H10" s="173">
        <f t="shared" si="1"/>
        <v>2.116839283700097E-05</v>
      </c>
      <c r="J10" s="174">
        <f t="shared" si="2"/>
        <v>0.0007920181405895693</v>
      </c>
      <c r="K10" s="174">
        <f t="shared" si="3"/>
        <v>7.169613684825503E-11</v>
      </c>
    </row>
    <row r="11" spans="1:11" ht="12">
      <c r="A11" s="2" t="s">
        <v>220</v>
      </c>
      <c r="B11">
        <v>4</v>
      </c>
      <c r="C11" s="175">
        <v>0.19</v>
      </c>
      <c r="E11" s="171">
        <v>21190</v>
      </c>
      <c r="F11" s="171">
        <v>2600000</v>
      </c>
      <c r="G11" s="173">
        <f t="shared" si="0"/>
        <v>0.00815</v>
      </c>
      <c r="H11" s="173">
        <f t="shared" si="1"/>
        <v>5.5759019622216896E-05</v>
      </c>
      <c r="J11" s="174">
        <f t="shared" si="2"/>
        <v>0.0015485</v>
      </c>
      <c r="K11" s="174">
        <f t="shared" si="3"/>
        <v>1.1223736451923078E-10</v>
      </c>
    </row>
    <row r="12" spans="1:11" ht="12">
      <c r="A12" s="2" t="s">
        <v>221</v>
      </c>
      <c r="B12">
        <v>5</v>
      </c>
      <c r="C12" s="175">
        <v>0.12</v>
      </c>
      <c r="E12" s="171">
        <v>97350</v>
      </c>
      <c r="F12" s="171">
        <v>2200000</v>
      </c>
      <c r="G12" s="173">
        <f t="shared" si="0"/>
        <v>0.04425</v>
      </c>
      <c r="H12" s="173">
        <f t="shared" si="1"/>
        <v>0.00013864922630345058</v>
      </c>
      <c r="J12" s="174">
        <f t="shared" si="2"/>
        <v>0.00531</v>
      </c>
      <c r="K12" s="174">
        <f t="shared" si="3"/>
        <v>2.768199545454544E-10</v>
      </c>
    </row>
    <row r="13" spans="2:11" ht="12">
      <c r="B13">
        <v>6</v>
      </c>
      <c r="C13" s="175">
        <v>0</v>
      </c>
      <c r="E13" s="171">
        <v>0</v>
      </c>
      <c r="F13" s="171">
        <v>1</v>
      </c>
      <c r="G13" s="173">
        <f t="shared" si="0"/>
        <v>0</v>
      </c>
      <c r="H13" s="173">
        <f t="shared" si="1"/>
        <v>0</v>
      </c>
      <c r="J13" s="174">
        <f t="shared" si="2"/>
        <v>0</v>
      </c>
      <c r="K13" s="174">
        <f t="shared" si="3"/>
        <v>0</v>
      </c>
    </row>
    <row r="14" spans="2:11" ht="12">
      <c r="B14">
        <v>7</v>
      </c>
      <c r="C14" s="175">
        <v>0</v>
      </c>
      <c r="E14" s="171">
        <v>0</v>
      </c>
      <c r="F14" s="171">
        <v>1</v>
      </c>
      <c r="G14" s="173">
        <f t="shared" si="0"/>
        <v>0</v>
      </c>
      <c r="H14" s="173">
        <f t="shared" si="1"/>
        <v>0</v>
      </c>
      <c r="J14" s="174">
        <f t="shared" si="2"/>
        <v>0</v>
      </c>
      <c r="K14" s="174">
        <f t="shared" si="3"/>
        <v>0</v>
      </c>
    </row>
    <row r="15" spans="2:11" ht="12">
      <c r="B15">
        <v>8</v>
      </c>
      <c r="C15" s="175">
        <v>0</v>
      </c>
      <c r="E15" s="171">
        <v>0</v>
      </c>
      <c r="F15" s="171">
        <v>1</v>
      </c>
      <c r="G15" s="173">
        <f t="shared" si="0"/>
        <v>0</v>
      </c>
      <c r="H15" s="173">
        <f t="shared" si="1"/>
        <v>0</v>
      </c>
      <c r="J15" s="174">
        <f t="shared" si="2"/>
        <v>0</v>
      </c>
      <c r="K15" s="174">
        <f t="shared" si="3"/>
        <v>0</v>
      </c>
    </row>
    <row r="16" spans="2:11" ht="12">
      <c r="B16" t="s">
        <v>216</v>
      </c>
      <c r="C16" s="21">
        <f>SUM(C8:C15)</f>
        <v>1</v>
      </c>
      <c r="E16">
        <f>SUM(E8:E15)</f>
        <v>130986</v>
      </c>
      <c r="F16">
        <f>SUM(F8:F15)</f>
        <v>12340003</v>
      </c>
      <c r="J16" s="174">
        <f>SUM(J8:J15)</f>
        <v>0.007974756737080797</v>
      </c>
      <c r="K16" s="174">
        <f>SUM(K8:K15)</f>
        <v>4.891755477836283E-10</v>
      </c>
    </row>
    <row r="17" spans="5:7" ht="12">
      <c r="E17" s="401" t="s">
        <v>225</v>
      </c>
      <c r="F17" s="403"/>
      <c r="G17" s="181">
        <f>E16/F16</f>
        <v>0.010614746203870453</v>
      </c>
    </row>
    <row r="18" spans="4:8" ht="12.75" customHeight="1">
      <c r="D18" s="401" t="s">
        <v>208</v>
      </c>
      <c r="E18" s="402"/>
      <c r="F18" s="403"/>
      <c r="G18" s="176">
        <f>J16</f>
        <v>0.007974756737080797</v>
      </c>
      <c r="H18" s="173"/>
    </row>
    <row r="19" spans="4:8" ht="12">
      <c r="D19" s="401" t="s">
        <v>209</v>
      </c>
      <c r="E19" s="402"/>
      <c r="F19" s="403"/>
      <c r="G19" s="176">
        <f>SQRT(K16)</f>
        <v>2.2117313303917097E-05</v>
      </c>
      <c r="H19" s="173"/>
    </row>
    <row r="20" spans="4:8" ht="12">
      <c r="D20" s="401" t="s">
        <v>210</v>
      </c>
      <c r="E20" s="402"/>
      <c r="F20" s="403"/>
      <c r="G20" s="176">
        <f>G18-1.96*G19</f>
        <v>0.00793140680300512</v>
      </c>
      <c r="H20" s="176">
        <f>G18+1.96*G19</f>
        <v>0.008018106671156475</v>
      </c>
    </row>
    <row r="21" spans="4:8" ht="12">
      <c r="D21" s="183"/>
      <c r="E21" s="183"/>
      <c r="F21" s="183"/>
      <c r="G21" s="182"/>
      <c r="H21" s="182"/>
    </row>
    <row r="22" ht="16.5">
      <c r="A22" s="180" t="s">
        <v>222</v>
      </c>
    </row>
    <row r="24" ht="16.5">
      <c r="A24" s="180"/>
    </row>
    <row r="25" ht="16.5">
      <c r="A25" s="180"/>
    </row>
    <row r="26" ht="16.5">
      <c r="A26" s="180"/>
    </row>
    <row r="27" spans="3:7" ht="12">
      <c r="C27" s="394" t="s">
        <v>226</v>
      </c>
      <c r="E27" s="412" t="s">
        <v>227</v>
      </c>
      <c r="F27" s="413"/>
      <c r="G27" s="413"/>
    </row>
    <row r="28" spans="3:8" ht="12">
      <c r="C28" s="414"/>
      <c r="E28" s="410" t="s">
        <v>211</v>
      </c>
      <c r="F28" s="410" t="s">
        <v>212</v>
      </c>
      <c r="G28" s="410" t="s">
        <v>213</v>
      </c>
      <c r="H28" s="410" t="s">
        <v>207</v>
      </c>
    </row>
    <row r="29" spans="1:8" ht="12.75">
      <c r="A29" t="s">
        <v>215</v>
      </c>
      <c r="B29" s="23" t="s">
        <v>206</v>
      </c>
      <c r="C29" s="415"/>
      <c r="E29" s="411"/>
      <c r="F29" s="411"/>
      <c r="G29" s="411"/>
      <c r="H29" s="411"/>
    </row>
    <row r="30" spans="1:11" ht="12.75">
      <c r="A30" s="2" t="s">
        <v>217</v>
      </c>
      <c r="B30">
        <v>1</v>
      </c>
      <c r="C30" s="177">
        <v>0.07</v>
      </c>
      <c r="E30" s="178">
        <v>2414</v>
      </c>
      <c r="F30" s="178">
        <v>850000</v>
      </c>
      <c r="G30" s="173">
        <f>E30/F30</f>
        <v>0.00284</v>
      </c>
      <c r="H30" s="173">
        <f>SQRT(G30*(1-G30)/F30)</f>
        <v>5.772077207913772E-05</v>
      </c>
      <c r="J30" s="174">
        <f>G30*C30</f>
        <v>0.00019880000000000003</v>
      </c>
      <c r="K30" s="174">
        <f>(H30*C30)^2</f>
        <v>1.6325268894117653E-11</v>
      </c>
    </row>
    <row r="31" spans="1:11" ht="12.75">
      <c r="A31" s="2" t="s">
        <v>218</v>
      </c>
      <c r="B31">
        <v>2</v>
      </c>
      <c r="C31" s="177">
        <v>0.22</v>
      </c>
      <c r="E31" s="179">
        <v>1300</v>
      </c>
      <c r="F31" s="179">
        <v>2280000</v>
      </c>
      <c r="G31" s="173">
        <f aca="true" t="shared" si="4" ref="G31:G37">E31/F31</f>
        <v>0.0005701754385964912</v>
      </c>
      <c r="H31" s="173">
        <f aca="true" t="shared" si="5" ref="H31:H37">SQRT(G31*(1-G31)/F31)</f>
        <v>1.5809312414524844E-05</v>
      </c>
      <c r="J31" s="174">
        <f aca="true" t="shared" si="6" ref="J31:J37">G31*C31</f>
        <v>0.00012543859649122806</v>
      </c>
      <c r="K31" s="174">
        <f aca="true" t="shared" si="7" ref="K31:K37">(H31*C31)^2</f>
        <v>1.2096822976570387E-11</v>
      </c>
    </row>
    <row r="32" spans="1:11" ht="12.75">
      <c r="A32" s="2" t="s">
        <v>219</v>
      </c>
      <c r="B32">
        <v>3</v>
      </c>
      <c r="C32" s="177">
        <v>0.4</v>
      </c>
      <c r="E32" s="179">
        <v>8732</v>
      </c>
      <c r="F32" s="179">
        <v>4410000</v>
      </c>
      <c r="G32" s="173">
        <f t="shared" si="4"/>
        <v>0.001980045351473923</v>
      </c>
      <c r="H32" s="173">
        <f t="shared" si="5"/>
        <v>2.116839283700097E-05</v>
      </c>
      <c r="J32" s="174">
        <f t="shared" si="6"/>
        <v>0.0007920181405895693</v>
      </c>
      <c r="K32" s="174">
        <f t="shared" si="7"/>
        <v>7.169613684825503E-11</v>
      </c>
    </row>
    <row r="33" spans="1:11" ht="12.75">
      <c r="A33" s="2" t="s">
        <v>220</v>
      </c>
      <c r="B33">
        <v>4</v>
      </c>
      <c r="C33" s="177">
        <v>0.19</v>
      </c>
      <c r="E33" s="179">
        <v>21190</v>
      </c>
      <c r="F33" s="179">
        <v>2600000</v>
      </c>
      <c r="G33" s="173">
        <f t="shared" si="4"/>
        <v>0.00815</v>
      </c>
      <c r="H33" s="173">
        <f t="shared" si="5"/>
        <v>5.5759019622216896E-05</v>
      </c>
      <c r="J33" s="174">
        <f t="shared" si="6"/>
        <v>0.0015485</v>
      </c>
      <c r="K33" s="174">
        <f t="shared" si="7"/>
        <v>1.1223736451923078E-10</v>
      </c>
    </row>
    <row r="34" spans="1:11" ht="12.75">
      <c r="A34" s="2" t="s">
        <v>221</v>
      </c>
      <c r="B34">
        <v>5</v>
      </c>
      <c r="C34" s="177">
        <v>0.12</v>
      </c>
      <c r="E34" s="179">
        <v>97350</v>
      </c>
      <c r="F34" s="179">
        <v>2200000</v>
      </c>
      <c r="G34" s="173">
        <f t="shared" si="4"/>
        <v>0.04425</v>
      </c>
      <c r="H34" s="173">
        <f t="shared" si="5"/>
        <v>0.00013864922630345058</v>
      </c>
      <c r="J34" s="174">
        <f t="shared" si="6"/>
        <v>0.00531</v>
      </c>
      <c r="K34" s="174">
        <f t="shared" si="7"/>
        <v>2.768199545454544E-10</v>
      </c>
    </row>
    <row r="35" spans="2:11" ht="12.75">
      <c r="B35">
        <v>6</v>
      </c>
      <c r="C35" s="177">
        <v>0</v>
      </c>
      <c r="E35" s="179">
        <v>0</v>
      </c>
      <c r="F35" s="179">
        <v>1</v>
      </c>
      <c r="G35" s="173">
        <f t="shared" si="4"/>
        <v>0</v>
      </c>
      <c r="H35" s="173">
        <f t="shared" si="5"/>
        <v>0</v>
      </c>
      <c r="J35" s="174">
        <f t="shared" si="6"/>
        <v>0</v>
      </c>
      <c r="K35" s="174">
        <f t="shared" si="7"/>
        <v>0</v>
      </c>
    </row>
    <row r="36" spans="2:11" ht="12.75">
      <c r="B36">
        <v>7</v>
      </c>
      <c r="C36" s="177">
        <v>0</v>
      </c>
      <c r="E36" s="179">
        <v>0</v>
      </c>
      <c r="F36" s="179">
        <v>1</v>
      </c>
      <c r="G36" s="173">
        <f t="shared" si="4"/>
        <v>0</v>
      </c>
      <c r="H36" s="173">
        <f t="shared" si="5"/>
        <v>0</v>
      </c>
      <c r="J36" s="174">
        <f t="shared" si="6"/>
        <v>0</v>
      </c>
      <c r="K36" s="174">
        <f t="shared" si="7"/>
        <v>0</v>
      </c>
    </row>
    <row r="37" spans="2:11" ht="12.75">
      <c r="B37">
        <v>8</v>
      </c>
      <c r="C37" s="177">
        <v>0</v>
      </c>
      <c r="E37" s="179">
        <v>0</v>
      </c>
      <c r="F37" s="179">
        <v>1</v>
      </c>
      <c r="G37" s="173">
        <f t="shared" si="4"/>
        <v>0</v>
      </c>
      <c r="H37" s="173">
        <f t="shared" si="5"/>
        <v>0</v>
      </c>
      <c r="J37" s="174">
        <f t="shared" si="6"/>
        <v>0</v>
      </c>
      <c r="K37" s="174">
        <f t="shared" si="7"/>
        <v>0</v>
      </c>
    </row>
    <row r="38" spans="2:11" ht="12.75">
      <c r="B38" t="s">
        <v>216</v>
      </c>
      <c r="C38" s="21">
        <f>SUM(C30:C37)</f>
        <v>1</v>
      </c>
      <c r="E38">
        <f>SUM(E30:E37)</f>
        <v>130986</v>
      </c>
      <c r="F38">
        <f>SUM(F30:F37)</f>
        <v>12340003</v>
      </c>
      <c r="J38" s="174">
        <f>SUM(J30:J37)</f>
        <v>0.007974756737080797</v>
      </c>
      <c r="K38" s="174">
        <f>SUM(K30:K37)</f>
        <v>4.891755477836283E-10</v>
      </c>
    </row>
    <row r="39" spans="5:7" ht="12.75">
      <c r="E39" s="401" t="s">
        <v>225</v>
      </c>
      <c r="F39" s="403"/>
      <c r="G39" s="181">
        <f>E38/F38</f>
        <v>0.010614746203870453</v>
      </c>
    </row>
    <row r="40" spans="4:8" ht="12.75">
      <c r="D40" s="401" t="s">
        <v>208</v>
      </c>
      <c r="E40" s="402"/>
      <c r="F40" s="403"/>
      <c r="G40" s="176">
        <f>J38</f>
        <v>0.007974756737080797</v>
      </c>
      <c r="H40" s="173"/>
    </row>
    <row r="41" spans="4:8" ht="12">
      <c r="D41" s="401" t="s">
        <v>209</v>
      </c>
      <c r="E41" s="402"/>
      <c r="F41" s="403"/>
      <c r="G41" s="176">
        <f>SQRT(K38)</f>
        <v>2.2117313303917097E-05</v>
      </c>
      <c r="H41" s="173"/>
    </row>
    <row r="42" spans="4:8" ht="12">
      <c r="D42" s="401" t="s">
        <v>210</v>
      </c>
      <c r="E42" s="402"/>
      <c r="F42" s="403"/>
      <c r="G42" s="176">
        <f>G40-1.96*G41</f>
        <v>0.00793140680300512</v>
      </c>
      <c r="H42" s="176">
        <f>G40+1.96*G41</f>
        <v>0.008018106671156475</v>
      </c>
    </row>
    <row r="44" spans="3:7" ht="12">
      <c r="C44" s="394" t="s">
        <v>226</v>
      </c>
      <c r="E44" s="412" t="s">
        <v>228</v>
      </c>
      <c r="F44" s="413"/>
      <c r="G44" s="413"/>
    </row>
    <row r="45" spans="3:8" ht="12.75">
      <c r="C45" s="414"/>
      <c r="E45" s="410" t="s">
        <v>211</v>
      </c>
      <c r="F45" s="410" t="s">
        <v>212</v>
      </c>
      <c r="G45" s="410" t="s">
        <v>213</v>
      </c>
      <c r="H45" s="410" t="s">
        <v>207</v>
      </c>
    </row>
    <row r="46" spans="2:8" ht="12.75">
      <c r="B46" s="23" t="s">
        <v>206</v>
      </c>
      <c r="C46" s="415"/>
      <c r="E46" s="411"/>
      <c r="F46" s="411"/>
      <c r="G46" s="411"/>
      <c r="H46" s="411"/>
    </row>
    <row r="47" spans="2:11" ht="12.75">
      <c r="B47">
        <v>1</v>
      </c>
      <c r="C47" s="177">
        <v>0.07</v>
      </c>
      <c r="E47" s="178">
        <v>164</v>
      </c>
      <c r="F47" s="178">
        <v>60000</v>
      </c>
      <c r="G47" s="173">
        <f>E47/F47</f>
        <v>0.0027333333333333333</v>
      </c>
      <c r="H47" s="173">
        <f>SQRT(G47*(1-G47)/F47)</f>
        <v>0.0002131455770994018</v>
      </c>
      <c r="J47" s="174">
        <f>G47*C47</f>
        <v>0.00019133333333333334</v>
      </c>
      <c r="K47" s="174">
        <f>(H47*C47)^2</f>
        <v>2.2261208148148152E-10</v>
      </c>
    </row>
    <row r="48" spans="2:11" ht="12.75">
      <c r="B48">
        <v>2</v>
      </c>
      <c r="C48" s="177">
        <v>0.22</v>
      </c>
      <c r="E48" s="179">
        <v>85</v>
      </c>
      <c r="F48" s="179">
        <v>130000</v>
      </c>
      <c r="G48" s="173">
        <f aca="true" t="shared" si="8" ref="G48:G54">E48/F48</f>
        <v>0.0006538461538461538</v>
      </c>
      <c r="H48" s="173">
        <f aca="true" t="shared" si="9" ref="H48:H54">SQRT(G48*(1-G48)/F48)</f>
        <v>7.089638371233452E-05</v>
      </c>
      <c r="J48" s="174">
        <f aca="true" t="shared" si="10" ref="J48:J54">G48*C48</f>
        <v>0.00014384615384615385</v>
      </c>
      <c r="K48" s="174">
        <f aca="true" t="shared" si="11" ref="K48:K54">(H48*C48)^2</f>
        <v>2.4327278561675003E-10</v>
      </c>
    </row>
    <row r="49" spans="2:11" ht="12.75">
      <c r="B49">
        <v>3</v>
      </c>
      <c r="C49" s="177">
        <v>0.4</v>
      </c>
      <c r="E49" s="179">
        <v>450</v>
      </c>
      <c r="F49" s="179">
        <v>240000</v>
      </c>
      <c r="G49" s="173">
        <f t="shared" si="8"/>
        <v>0.001875</v>
      </c>
      <c r="H49" s="173">
        <f t="shared" si="9"/>
        <v>8.830544469340495E-05</v>
      </c>
      <c r="J49" s="174">
        <f t="shared" si="10"/>
        <v>0.00075</v>
      </c>
      <c r="K49" s="174">
        <f t="shared" si="11"/>
        <v>1.24765625E-09</v>
      </c>
    </row>
    <row r="50" spans="2:11" ht="12.75">
      <c r="B50">
        <v>4</v>
      </c>
      <c r="C50" s="177">
        <v>0.19</v>
      </c>
      <c r="E50" s="179">
        <v>503</v>
      </c>
      <c r="F50" s="179">
        <v>80000</v>
      </c>
      <c r="G50" s="173">
        <f t="shared" si="8"/>
        <v>0.0062875</v>
      </c>
      <c r="H50" s="173">
        <f t="shared" si="9"/>
        <v>0.00027946304191587656</v>
      </c>
      <c r="J50" s="174">
        <f t="shared" si="10"/>
        <v>0.001194625</v>
      </c>
      <c r="K50" s="174">
        <f t="shared" si="11"/>
        <v>2.819395263867187E-09</v>
      </c>
    </row>
    <row r="51" spans="2:11" ht="12.75">
      <c r="B51">
        <v>5</v>
      </c>
      <c r="C51" s="177">
        <v>0.12</v>
      </c>
      <c r="E51" s="179">
        <v>870</v>
      </c>
      <c r="F51" s="179">
        <v>20000</v>
      </c>
      <c r="G51" s="173">
        <f t="shared" si="8"/>
        <v>0.0435</v>
      </c>
      <c r="H51" s="173">
        <f t="shared" si="9"/>
        <v>0.001442354845383063</v>
      </c>
      <c r="J51" s="174">
        <f t="shared" si="10"/>
        <v>0.00522</v>
      </c>
      <c r="K51" s="174">
        <f t="shared" si="11"/>
        <v>2.9957579999999994E-08</v>
      </c>
    </row>
    <row r="52" spans="2:11" ht="12.75">
      <c r="B52">
        <v>6</v>
      </c>
      <c r="C52" s="177">
        <v>0</v>
      </c>
      <c r="E52" s="179">
        <v>0</v>
      </c>
      <c r="F52" s="179">
        <v>1</v>
      </c>
      <c r="G52" s="173">
        <f t="shared" si="8"/>
        <v>0</v>
      </c>
      <c r="H52" s="173">
        <f t="shared" si="9"/>
        <v>0</v>
      </c>
      <c r="J52" s="174">
        <f t="shared" si="10"/>
        <v>0</v>
      </c>
      <c r="K52" s="174">
        <f t="shared" si="11"/>
        <v>0</v>
      </c>
    </row>
    <row r="53" spans="2:11" ht="12.75">
      <c r="B53">
        <v>7</v>
      </c>
      <c r="C53" s="177">
        <v>0</v>
      </c>
      <c r="E53" s="179">
        <v>0</v>
      </c>
      <c r="F53" s="179">
        <v>1</v>
      </c>
      <c r="G53" s="173">
        <f t="shared" si="8"/>
        <v>0</v>
      </c>
      <c r="H53" s="173">
        <f t="shared" si="9"/>
        <v>0</v>
      </c>
      <c r="J53" s="174">
        <f t="shared" si="10"/>
        <v>0</v>
      </c>
      <c r="K53" s="174">
        <f t="shared" si="11"/>
        <v>0</v>
      </c>
    </row>
    <row r="54" spans="2:11" ht="12.75">
      <c r="B54">
        <v>8</v>
      </c>
      <c r="C54" s="177">
        <v>0</v>
      </c>
      <c r="E54" s="179">
        <v>0</v>
      </c>
      <c r="F54" s="179">
        <v>1</v>
      </c>
      <c r="G54" s="173">
        <f t="shared" si="8"/>
        <v>0</v>
      </c>
      <c r="H54" s="173">
        <f t="shared" si="9"/>
        <v>0</v>
      </c>
      <c r="J54" s="174">
        <f t="shared" si="10"/>
        <v>0</v>
      </c>
      <c r="K54" s="174">
        <f t="shared" si="11"/>
        <v>0</v>
      </c>
    </row>
    <row r="55" spans="2:11" ht="12.75">
      <c r="B55" t="s">
        <v>216</v>
      </c>
      <c r="C55" s="21">
        <f>SUM(C47:C54)</f>
        <v>1</v>
      </c>
      <c r="E55">
        <f>SUM(E47:E54)</f>
        <v>2072</v>
      </c>
      <c r="F55">
        <f>SUM(F47:F54)</f>
        <v>530003</v>
      </c>
      <c r="J55" s="174">
        <f>SUM(J47:J54)</f>
        <v>0.0074998044871794865</v>
      </c>
      <c r="K55" s="174">
        <f>SUM(K47:K54)</f>
        <v>3.4490516380965415E-08</v>
      </c>
    </row>
    <row r="56" spans="5:7" ht="12.75">
      <c r="E56" s="401" t="s">
        <v>225</v>
      </c>
      <c r="F56" s="403"/>
      <c r="G56" s="181">
        <f>E55/F55</f>
        <v>0.003909411833517924</v>
      </c>
    </row>
    <row r="57" spans="4:8" ht="12">
      <c r="D57" s="401" t="s">
        <v>208</v>
      </c>
      <c r="E57" s="402"/>
      <c r="F57" s="403"/>
      <c r="G57" s="176">
        <f>J55</f>
        <v>0.0074998044871794865</v>
      </c>
      <c r="H57" s="173"/>
    </row>
    <row r="58" spans="4:8" ht="12">
      <c r="D58" s="401" t="s">
        <v>209</v>
      </c>
      <c r="E58" s="402"/>
      <c r="F58" s="403"/>
      <c r="G58" s="176">
        <f>SQRT(K55)</f>
        <v>0.00018571622541115092</v>
      </c>
      <c r="H58" s="173"/>
    </row>
    <row r="59" spans="4:8" ht="12">
      <c r="D59" s="401" t="s">
        <v>210</v>
      </c>
      <c r="E59" s="402"/>
      <c r="F59" s="403"/>
      <c r="G59" s="176">
        <f>G57-1.96*G58</f>
        <v>0.0071358006853736305</v>
      </c>
      <c r="H59" s="176">
        <f>G57+1.96*G58</f>
        <v>0.007863808288985343</v>
      </c>
    </row>
  </sheetData>
  <sheetProtection password="C774" sheet="1" objects="1" scenarios="1"/>
  <mergeCells count="32">
    <mergeCell ref="C5:C7"/>
    <mergeCell ref="A1:K1"/>
    <mergeCell ref="A2:K2"/>
    <mergeCell ref="E6:E7"/>
    <mergeCell ref="F6:F7"/>
    <mergeCell ref="G6:G7"/>
    <mergeCell ref="H6:H7"/>
    <mergeCell ref="C27:C29"/>
    <mergeCell ref="E28:E29"/>
    <mergeCell ref="F28:F29"/>
    <mergeCell ref="G28:G29"/>
    <mergeCell ref="D18:F18"/>
    <mergeCell ref="D19:F19"/>
    <mergeCell ref="D20:F20"/>
    <mergeCell ref="E44:G44"/>
    <mergeCell ref="E45:E46"/>
    <mergeCell ref="F45:F46"/>
    <mergeCell ref="G45:G46"/>
    <mergeCell ref="H28:H29"/>
    <mergeCell ref="D40:F40"/>
    <mergeCell ref="D41:F41"/>
    <mergeCell ref="D42:F42"/>
    <mergeCell ref="D59:F59"/>
    <mergeCell ref="A3:M4"/>
    <mergeCell ref="H45:H46"/>
    <mergeCell ref="E56:F56"/>
    <mergeCell ref="D57:F57"/>
    <mergeCell ref="D58:F58"/>
    <mergeCell ref="E17:F17"/>
    <mergeCell ref="E39:F39"/>
    <mergeCell ref="E27:G27"/>
    <mergeCell ref="C44:C46"/>
  </mergeCells>
  <hyperlinks>
    <hyperlink ref="M1" location="'Main Menu'!A1" display="Main Menu"/>
  </hyperlink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M91"/>
  <sheetViews>
    <sheetView workbookViewId="0" topLeftCell="A1">
      <selection activeCell="G1" sqref="G1"/>
    </sheetView>
  </sheetViews>
  <sheetFormatPr defaultColWidth="8.8515625" defaultRowHeight="12.75"/>
  <cols>
    <col min="1" max="4" width="8.8515625" style="0" customWidth="1"/>
    <col min="5" max="6" width="11.140625" style="0" customWidth="1"/>
  </cols>
  <sheetData>
    <row r="1" spans="7:11" ht="33" customHeight="1">
      <c r="G1" s="164" t="s">
        <v>193</v>
      </c>
      <c r="I1" s="278" t="s">
        <v>280</v>
      </c>
      <c r="J1" s="278"/>
      <c r="K1" s="278"/>
    </row>
    <row r="2" spans="1:13" ht="58.5" customHeight="1">
      <c r="A2" s="283" t="s">
        <v>103</v>
      </c>
      <c r="B2" s="284"/>
      <c r="C2" s="284"/>
      <c r="D2" s="284"/>
      <c r="E2" s="284"/>
      <c r="F2" s="284"/>
      <c r="G2" s="284"/>
      <c r="H2" s="284"/>
      <c r="I2" s="284"/>
      <c r="J2" s="284"/>
      <c r="K2" s="284"/>
      <c r="L2" s="284"/>
      <c r="M2" s="285"/>
    </row>
    <row r="3" spans="1:4" ht="29.25" customHeight="1">
      <c r="A3" s="280" t="s">
        <v>281</v>
      </c>
      <c r="B3" s="281"/>
      <c r="C3" s="281"/>
      <c r="D3" s="282"/>
    </row>
    <row r="5" spans="1:2" ht="12">
      <c r="A5" s="279" t="s">
        <v>58</v>
      </c>
      <c r="B5" s="279"/>
    </row>
    <row r="6" spans="1:2" ht="12">
      <c r="A6" s="41" t="s">
        <v>59</v>
      </c>
      <c r="B6" s="41" t="s">
        <v>60</v>
      </c>
    </row>
    <row r="7" spans="1:2" ht="12">
      <c r="A7" s="56">
        <v>3</v>
      </c>
      <c r="B7" s="56">
        <v>3</v>
      </c>
    </row>
    <row r="8" spans="1:2" ht="12">
      <c r="A8" s="56">
        <v>12</v>
      </c>
      <c r="B8" s="56">
        <v>1</v>
      </c>
    </row>
    <row r="9" spans="1:2" ht="12">
      <c r="A9" s="56">
        <v>2</v>
      </c>
      <c r="B9" s="56">
        <v>1</v>
      </c>
    </row>
    <row r="10" spans="1:2" ht="12">
      <c r="A10" s="56">
        <v>1</v>
      </c>
      <c r="B10" s="56">
        <v>5</v>
      </c>
    </row>
    <row r="11" spans="1:2" ht="12">
      <c r="A11" s="56">
        <v>11</v>
      </c>
      <c r="B11" s="56">
        <v>1</v>
      </c>
    </row>
    <row r="12" spans="1:2" ht="12">
      <c r="A12" s="56">
        <v>4</v>
      </c>
      <c r="B12" s="56">
        <v>6</v>
      </c>
    </row>
    <row r="13" spans="1:2" ht="12">
      <c r="A13" s="56">
        <v>2</v>
      </c>
      <c r="B13" s="56">
        <v>1</v>
      </c>
    </row>
    <row r="14" spans="1:2" ht="12">
      <c r="A14" s="56">
        <v>2</v>
      </c>
      <c r="B14" s="56">
        <v>5</v>
      </c>
    </row>
    <row r="15" spans="1:2" ht="12">
      <c r="A15" s="56">
        <v>3</v>
      </c>
      <c r="B15" s="56">
        <v>2</v>
      </c>
    </row>
    <row r="16" spans="1:2" ht="12">
      <c r="A16" s="56">
        <v>1</v>
      </c>
      <c r="B16" s="56">
        <v>3</v>
      </c>
    </row>
    <row r="17" spans="1:2" ht="12">
      <c r="A17" s="56">
        <v>8</v>
      </c>
      <c r="B17" s="56">
        <v>3</v>
      </c>
    </row>
    <row r="18" spans="1:2" ht="12">
      <c r="A18" s="56">
        <v>2</v>
      </c>
      <c r="B18" s="56">
        <v>1</v>
      </c>
    </row>
    <row r="19" spans="1:2" ht="12">
      <c r="A19" s="56">
        <v>3</v>
      </c>
      <c r="B19" s="56">
        <v>5</v>
      </c>
    </row>
    <row r="20" spans="1:2" ht="12">
      <c r="A20" s="56">
        <v>6</v>
      </c>
      <c r="B20" s="56">
        <v>2</v>
      </c>
    </row>
    <row r="21" spans="1:2" ht="12">
      <c r="A21" s="56">
        <v>1</v>
      </c>
      <c r="B21" s="56">
        <v>2</v>
      </c>
    </row>
    <row r="22" spans="1:2" ht="12">
      <c r="A22" s="56">
        <v>13</v>
      </c>
      <c r="B22" s="56">
        <v>2</v>
      </c>
    </row>
    <row r="23" spans="1:2" ht="12">
      <c r="A23" s="56">
        <v>3</v>
      </c>
      <c r="B23" s="56">
        <v>3</v>
      </c>
    </row>
    <row r="24" spans="1:2" ht="12">
      <c r="A24" s="56">
        <v>8</v>
      </c>
      <c r="B24" s="56">
        <v>3</v>
      </c>
    </row>
    <row r="25" spans="1:2" ht="12">
      <c r="A25" s="56">
        <v>10</v>
      </c>
      <c r="B25" s="56">
        <v>7</v>
      </c>
    </row>
    <row r="26" spans="1:2" ht="12">
      <c r="A26" s="56">
        <v>6</v>
      </c>
      <c r="B26" s="56">
        <v>3</v>
      </c>
    </row>
    <row r="27" spans="1:2" ht="12">
      <c r="A27" s="56">
        <v>4</v>
      </c>
      <c r="B27" s="56">
        <v>4</v>
      </c>
    </row>
    <row r="28" spans="1:2" ht="12">
      <c r="A28" s="56">
        <v>12</v>
      </c>
      <c r="B28" s="56">
        <v>1</v>
      </c>
    </row>
    <row r="29" spans="1:7" ht="12">
      <c r="A29" s="56">
        <v>9</v>
      </c>
      <c r="B29" s="56">
        <v>3</v>
      </c>
      <c r="G29" s="52"/>
    </row>
    <row r="30" spans="1:7" ht="12">
      <c r="A30" s="56">
        <v>7</v>
      </c>
      <c r="B30" s="56">
        <v>3</v>
      </c>
      <c r="G30" s="52"/>
    </row>
    <row r="31" spans="1:7" ht="12">
      <c r="A31" s="56">
        <v>1</v>
      </c>
      <c r="B31" s="56">
        <v>2</v>
      </c>
      <c r="G31" s="52"/>
    </row>
    <row r="32" spans="1:7" ht="12">
      <c r="A32" s="56">
        <v>3</v>
      </c>
      <c r="B32" s="56">
        <v>2</v>
      </c>
      <c r="G32" s="52"/>
    </row>
    <row r="33" spans="1:2" ht="12">
      <c r="A33" s="56">
        <v>3</v>
      </c>
      <c r="B33" s="56">
        <v>2</v>
      </c>
    </row>
    <row r="34" spans="1:2" ht="12">
      <c r="A34" s="56">
        <v>2</v>
      </c>
      <c r="B34" s="56">
        <v>4</v>
      </c>
    </row>
    <row r="35" spans="1:3" ht="12">
      <c r="A35" s="43">
        <f>AVERAGE(A7:A34)</f>
        <v>5.071428571428571</v>
      </c>
      <c r="B35" s="43">
        <f>AVERAGE(B7:B34)</f>
        <v>2.857142857142857</v>
      </c>
      <c r="C35" s="44"/>
    </row>
    <row r="40" ht="12">
      <c r="C40" t="s">
        <v>62</v>
      </c>
    </row>
    <row r="41" spans="1:2" ht="12">
      <c r="A41" s="279" t="s">
        <v>58</v>
      </c>
      <c r="B41" s="279"/>
    </row>
    <row r="42" spans="1:2" ht="12">
      <c r="A42" s="41" t="s">
        <v>59</v>
      </c>
      <c r="B42" s="41" t="s">
        <v>60</v>
      </c>
    </row>
    <row r="43" spans="1:5" ht="12">
      <c r="A43" s="56">
        <v>1</v>
      </c>
      <c r="B43" s="56">
        <v>1</v>
      </c>
      <c r="C43" s="61"/>
      <c r="D43" s="61"/>
      <c r="E43" s="61"/>
    </row>
    <row r="44" spans="1:5" ht="12">
      <c r="A44" s="56">
        <v>1</v>
      </c>
      <c r="B44" s="56">
        <v>1</v>
      </c>
      <c r="C44" s="61"/>
      <c r="D44" s="61"/>
      <c r="E44" s="61"/>
    </row>
    <row r="45" spans="1:2" ht="12">
      <c r="A45" s="56">
        <v>1</v>
      </c>
      <c r="B45" s="56">
        <v>1</v>
      </c>
    </row>
    <row r="46" spans="1:2" ht="12">
      <c r="A46" s="56">
        <v>1</v>
      </c>
      <c r="B46" s="56">
        <v>1</v>
      </c>
    </row>
    <row r="47" spans="1:4" ht="12.75" customHeight="1">
      <c r="A47" s="56">
        <v>2</v>
      </c>
      <c r="B47" s="56">
        <v>1</v>
      </c>
      <c r="D47" s="23" t="s">
        <v>104</v>
      </c>
    </row>
    <row r="48" spans="1:6" ht="12">
      <c r="A48" s="56">
        <v>2</v>
      </c>
      <c r="B48" s="56">
        <v>1</v>
      </c>
      <c r="D48" s="42"/>
      <c r="E48" s="45" t="s">
        <v>63</v>
      </c>
      <c r="F48" s="45" t="s">
        <v>63</v>
      </c>
    </row>
    <row r="49" spans="1:6" ht="12">
      <c r="A49" s="56">
        <v>2</v>
      </c>
      <c r="B49" s="56">
        <v>2</v>
      </c>
      <c r="D49" s="42" t="s">
        <v>58</v>
      </c>
      <c r="E49" s="42" t="s">
        <v>64</v>
      </c>
      <c r="F49" s="42" t="s">
        <v>65</v>
      </c>
    </row>
    <row r="50" spans="1:6" ht="12">
      <c r="A50" s="56">
        <v>2</v>
      </c>
      <c r="B50" s="56">
        <v>2</v>
      </c>
      <c r="D50">
        <v>1</v>
      </c>
      <c r="E50">
        <v>4</v>
      </c>
      <c r="F50">
        <v>6</v>
      </c>
    </row>
    <row r="51" spans="1:6" ht="12">
      <c r="A51" s="56">
        <v>2</v>
      </c>
      <c r="B51" s="56">
        <v>2</v>
      </c>
      <c r="D51">
        <v>2</v>
      </c>
      <c r="E51">
        <v>5</v>
      </c>
      <c r="F51">
        <v>7</v>
      </c>
    </row>
    <row r="52" spans="1:6" ht="12">
      <c r="A52" s="56">
        <v>3</v>
      </c>
      <c r="B52" s="56">
        <v>2</v>
      </c>
      <c r="D52">
        <v>3</v>
      </c>
      <c r="E52">
        <v>6</v>
      </c>
      <c r="F52">
        <v>8</v>
      </c>
    </row>
    <row r="53" spans="1:6" ht="12">
      <c r="A53" s="56">
        <v>3</v>
      </c>
      <c r="B53" s="56">
        <v>2</v>
      </c>
      <c r="D53">
        <v>4</v>
      </c>
      <c r="E53">
        <v>2</v>
      </c>
      <c r="F53">
        <v>2</v>
      </c>
    </row>
    <row r="54" spans="1:6" ht="12.75">
      <c r="A54" s="56">
        <v>3</v>
      </c>
      <c r="B54" s="56">
        <v>2</v>
      </c>
      <c r="D54">
        <v>5</v>
      </c>
      <c r="E54">
        <v>0</v>
      </c>
      <c r="F54">
        <v>3</v>
      </c>
    </row>
    <row r="55" spans="1:6" ht="12.75">
      <c r="A55" s="56">
        <v>3</v>
      </c>
      <c r="B55" s="56">
        <v>2</v>
      </c>
      <c r="D55">
        <v>6</v>
      </c>
      <c r="E55">
        <v>2</v>
      </c>
      <c r="F55">
        <v>1</v>
      </c>
    </row>
    <row r="56" spans="1:6" ht="12.75">
      <c r="A56" s="56">
        <v>3</v>
      </c>
      <c r="B56" s="56">
        <v>3</v>
      </c>
      <c r="D56">
        <v>7</v>
      </c>
      <c r="E56">
        <v>1</v>
      </c>
      <c r="F56">
        <v>1</v>
      </c>
    </row>
    <row r="57" spans="1:6" ht="12">
      <c r="A57" s="56">
        <v>3</v>
      </c>
      <c r="B57" s="56">
        <v>3</v>
      </c>
      <c r="D57">
        <v>8</v>
      </c>
      <c r="E57">
        <v>2</v>
      </c>
      <c r="F57">
        <v>0</v>
      </c>
    </row>
    <row r="58" spans="1:6" ht="12">
      <c r="A58" s="56">
        <v>4</v>
      </c>
      <c r="B58" s="56">
        <v>3</v>
      </c>
      <c r="D58">
        <v>9</v>
      </c>
      <c r="E58">
        <v>1</v>
      </c>
      <c r="F58">
        <v>0</v>
      </c>
    </row>
    <row r="59" spans="1:6" ht="12">
      <c r="A59" s="56">
        <v>4</v>
      </c>
      <c r="B59" s="56">
        <v>3</v>
      </c>
      <c r="D59">
        <v>10</v>
      </c>
      <c r="E59">
        <v>1</v>
      </c>
      <c r="F59">
        <v>0</v>
      </c>
    </row>
    <row r="60" spans="1:6" ht="12">
      <c r="A60" s="56">
        <v>6</v>
      </c>
      <c r="B60" s="56">
        <v>3</v>
      </c>
      <c r="D60">
        <v>11</v>
      </c>
      <c r="E60">
        <v>1</v>
      </c>
      <c r="F60">
        <v>0</v>
      </c>
    </row>
    <row r="61" spans="1:6" ht="12">
      <c r="A61" s="56">
        <v>6</v>
      </c>
      <c r="B61" s="56">
        <v>3</v>
      </c>
      <c r="D61">
        <v>12</v>
      </c>
      <c r="E61">
        <v>2</v>
      </c>
      <c r="F61">
        <v>0</v>
      </c>
    </row>
    <row r="62" spans="1:6" ht="12">
      <c r="A62" s="56">
        <v>7</v>
      </c>
      <c r="B62" s="56">
        <v>3</v>
      </c>
      <c r="D62">
        <v>13</v>
      </c>
      <c r="E62">
        <v>1</v>
      </c>
      <c r="F62">
        <v>0</v>
      </c>
    </row>
    <row r="63" spans="1:6" ht="12">
      <c r="A63" s="56">
        <v>8</v>
      </c>
      <c r="B63" s="56">
        <v>3</v>
      </c>
      <c r="D63">
        <v>14</v>
      </c>
      <c r="E63">
        <v>0</v>
      </c>
      <c r="F63">
        <v>0</v>
      </c>
    </row>
    <row r="64" spans="1:6" ht="12">
      <c r="A64" s="56">
        <v>8</v>
      </c>
      <c r="B64" s="56">
        <v>4</v>
      </c>
      <c r="D64">
        <v>15</v>
      </c>
      <c r="E64">
        <v>0</v>
      </c>
      <c r="F64">
        <v>0</v>
      </c>
    </row>
    <row r="65" spans="1:6" ht="12.75">
      <c r="A65" s="56">
        <v>9</v>
      </c>
      <c r="B65" s="56">
        <v>4</v>
      </c>
      <c r="D65" t="s">
        <v>66</v>
      </c>
      <c r="E65">
        <f>SUM(E50:E64)</f>
        <v>28</v>
      </c>
      <c r="F65">
        <f>SUM(F50:F64)</f>
        <v>28</v>
      </c>
    </row>
    <row r="66" spans="1:2" ht="12.75">
      <c r="A66" s="56">
        <v>10</v>
      </c>
      <c r="B66" s="56">
        <v>5</v>
      </c>
    </row>
    <row r="67" spans="1:2" ht="12">
      <c r="A67" s="56">
        <v>11</v>
      </c>
      <c r="B67" s="56">
        <v>5</v>
      </c>
    </row>
    <row r="68" spans="1:2" ht="12">
      <c r="A68" s="56">
        <v>12</v>
      </c>
      <c r="B68" s="56">
        <v>5</v>
      </c>
    </row>
    <row r="69" spans="1:2" ht="12">
      <c r="A69" s="56">
        <v>12</v>
      </c>
      <c r="B69" s="56">
        <v>6</v>
      </c>
    </row>
    <row r="70" spans="1:2" ht="12">
      <c r="A70" s="56">
        <v>13</v>
      </c>
      <c r="B70" s="56">
        <v>7</v>
      </c>
    </row>
    <row r="71" spans="1:3" ht="12">
      <c r="A71" s="43">
        <f>AVERAGE(A43:A70)</f>
        <v>5.071428571428571</v>
      </c>
      <c r="B71" s="43">
        <f>AVERAGE(B43:B70)</f>
        <v>2.857142857142857</v>
      </c>
      <c r="C71" s="62" t="s">
        <v>74</v>
      </c>
    </row>
    <row r="72" spans="1:3" ht="12">
      <c r="A72" s="43">
        <f>VAR(A43:A70)</f>
        <v>14.735449735449736</v>
      </c>
      <c r="B72" s="43">
        <f>VAR(B43:B70)</f>
        <v>2.571428571428571</v>
      </c>
      <c r="C72" s="62" t="s">
        <v>67</v>
      </c>
    </row>
    <row r="73" spans="1:3" ht="12">
      <c r="A73" s="43">
        <f>STDEV(A43:A70)</f>
        <v>3.838678123449495</v>
      </c>
      <c r="B73" s="43">
        <f>STDEV(B43:B70)</f>
        <v>1.6035674514745462</v>
      </c>
      <c r="C73" s="62" t="s">
        <v>99</v>
      </c>
    </row>
    <row r="75" spans="1:3" ht="12">
      <c r="A75" s="44">
        <f>MEDIAN(A43:A70)</f>
        <v>3</v>
      </c>
      <c r="B75" s="44">
        <f>MEDIAN(B43:B70)</f>
        <v>3</v>
      </c>
      <c r="C75" s="63" t="s">
        <v>100</v>
      </c>
    </row>
    <row r="80" ht="12">
      <c r="D80" s="2"/>
    </row>
    <row r="81" ht="12">
      <c r="D81" s="2"/>
    </row>
    <row r="82" ht="12">
      <c r="D82" s="2"/>
    </row>
    <row r="83" ht="12">
      <c r="D83" s="2"/>
    </row>
    <row r="84" ht="12">
      <c r="D84" s="2"/>
    </row>
    <row r="85" ht="12">
      <c r="D85" s="2"/>
    </row>
    <row r="86" ht="12">
      <c r="D86" s="2"/>
    </row>
    <row r="87" ht="12">
      <c r="D87" s="2"/>
    </row>
    <row r="88" ht="12">
      <c r="D88" s="2"/>
    </row>
    <row r="90" ht="12">
      <c r="D90" s="2"/>
    </row>
    <row r="91" ht="12">
      <c r="D91" s="2"/>
    </row>
  </sheetData>
  <sheetProtection password="C774" sheet="1" objects="1" scenarios="1"/>
  <mergeCells count="5">
    <mergeCell ref="I1:K1"/>
    <mergeCell ref="A5:B5"/>
    <mergeCell ref="A3:D3"/>
    <mergeCell ref="A41:B41"/>
    <mergeCell ref="A2:M2"/>
  </mergeCells>
  <hyperlinks>
    <hyperlink ref="G1" location="'Main Menu'!A1" display="Main Menu"/>
  </hyperlinks>
  <printOptions/>
  <pageMargins left="0.75" right="0.75" top="1" bottom="1" header="0.5" footer="0.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K26"/>
  <sheetViews>
    <sheetView workbookViewId="0" topLeftCell="AL1">
      <selection activeCell="H6" sqref="H6"/>
    </sheetView>
  </sheetViews>
  <sheetFormatPr defaultColWidth="8.8515625" defaultRowHeight="12.75"/>
  <cols>
    <col min="1" max="1" width="17.7109375" style="0" customWidth="1"/>
    <col min="2" max="2" width="12.421875" style="0" bestFit="1" customWidth="1"/>
    <col min="3" max="7" width="8.8515625" style="0" customWidth="1"/>
    <col min="8" max="8" width="10.421875" style="0" customWidth="1"/>
    <col min="9" max="9" width="14.7109375" style="0" customWidth="1"/>
  </cols>
  <sheetData>
    <row r="1" spans="8:11" ht="51" customHeight="1">
      <c r="H1" s="286" t="s">
        <v>280</v>
      </c>
      <c r="I1" s="286"/>
      <c r="J1" s="286"/>
      <c r="K1" s="165" t="s">
        <v>193</v>
      </c>
    </row>
    <row r="3" spans="1:6" ht="12">
      <c r="A3" s="62" t="s">
        <v>118</v>
      </c>
      <c r="B3" s="44">
        <f>COUNT(B15:B26)</f>
        <v>12</v>
      </c>
      <c r="E3" s="62" t="s">
        <v>100</v>
      </c>
      <c r="F3" s="44">
        <f>MEDIAN(B15:B26)</f>
        <v>19</v>
      </c>
    </row>
    <row r="4" spans="1:6" ht="12">
      <c r="A4" s="62" t="s">
        <v>74</v>
      </c>
      <c r="B4" s="43">
        <f>AVERAGE(B15:B26)</f>
        <v>17.833333333333332</v>
      </c>
      <c r="E4" s="62" t="s">
        <v>263</v>
      </c>
      <c r="F4" s="44">
        <f>MODE(B15:B26)</f>
        <v>17</v>
      </c>
    </row>
    <row r="5" spans="1:6" ht="12">
      <c r="A5" s="62" t="s">
        <v>255</v>
      </c>
      <c r="B5" s="43">
        <f>STDEV(B15:B26)</f>
        <v>4.802145984932783</v>
      </c>
      <c r="E5" s="62" t="s">
        <v>264</v>
      </c>
      <c r="F5" s="44">
        <f>MIN(B15:B26)</f>
        <v>7</v>
      </c>
    </row>
    <row r="6" spans="1:6" ht="12">
      <c r="A6" s="62" t="s">
        <v>256</v>
      </c>
      <c r="B6" s="43">
        <f>B5/(SQRT(COUNT(B15:B26)))</f>
        <v>1.3862601385444113</v>
      </c>
      <c r="E6" s="62" t="s">
        <v>265</v>
      </c>
      <c r="F6" s="44">
        <f>MAX(B15:B26)</f>
        <v>23</v>
      </c>
    </row>
    <row r="7" spans="1:4" ht="12">
      <c r="A7" s="62" t="s">
        <v>259</v>
      </c>
      <c r="B7" s="43">
        <f>TINV(0.05,B16-1)</f>
        <v>2.119905299221255</v>
      </c>
      <c r="C7" s="2"/>
      <c r="D7" s="237"/>
    </row>
    <row r="8" spans="1:2" ht="12">
      <c r="A8" s="62" t="s">
        <v>260</v>
      </c>
      <c r="B8" s="43">
        <f>B7*B6</f>
        <v>2.938740213799489</v>
      </c>
    </row>
    <row r="9" spans="1:2" ht="12">
      <c r="A9" s="62"/>
      <c r="B9" s="237"/>
    </row>
    <row r="10" spans="1:2" ht="12">
      <c r="A10" s="23" t="s">
        <v>266</v>
      </c>
      <c r="B10" s="237"/>
    </row>
    <row r="11" spans="1:3" ht="12">
      <c r="A11" s="62" t="s">
        <v>257</v>
      </c>
      <c r="B11" s="43">
        <f>CONFIDENCE(0.05,B5,COUNT(B15:B26))</f>
        <v>2.717019944750551</v>
      </c>
      <c r="C11" t="s">
        <v>261</v>
      </c>
    </row>
    <row r="12" spans="1:3" ht="12">
      <c r="A12" s="236" t="s">
        <v>258</v>
      </c>
      <c r="B12" s="43">
        <f>B6*1.96</f>
        <v>2.717069871547046</v>
      </c>
      <c r="C12" t="s">
        <v>262</v>
      </c>
    </row>
    <row r="13" spans="1:2" ht="12">
      <c r="A13" s="236"/>
      <c r="B13" s="43"/>
    </row>
    <row r="14" ht="12">
      <c r="B14" s="23" t="s">
        <v>268</v>
      </c>
    </row>
    <row r="15" ht="12">
      <c r="B15" s="135">
        <v>14</v>
      </c>
    </row>
    <row r="16" ht="12">
      <c r="B16" s="135">
        <v>17</v>
      </c>
    </row>
    <row r="17" ht="12">
      <c r="B17" s="135">
        <v>22</v>
      </c>
    </row>
    <row r="18" ht="12">
      <c r="B18" s="135">
        <v>18</v>
      </c>
    </row>
    <row r="19" ht="12">
      <c r="B19" s="135">
        <v>22</v>
      </c>
    </row>
    <row r="20" ht="12">
      <c r="B20" s="135">
        <v>17</v>
      </c>
    </row>
    <row r="21" ht="12">
      <c r="B21" s="135">
        <v>12</v>
      </c>
    </row>
    <row r="22" ht="12">
      <c r="B22" s="135">
        <v>7</v>
      </c>
    </row>
    <row r="23" ht="12">
      <c r="B23" s="135">
        <v>20</v>
      </c>
    </row>
    <row r="24" ht="12">
      <c r="B24" s="135">
        <v>21</v>
      </c>
    </row>
    <row r="25" ht="12">
      <c r="B25" s="135">
        <v>21</v>
      </c>
    </row>
    <row r="26" ht="12">
      <c r="B26" s="135">
        <v>23</v>
      </c>
    </row>
  </sheetData>
  <sheetProtection password="C774" sheet="1" objects="1" scenarios="1"/>
  <mergeCells count="1">
    <mergeCell ref="H1:J1"/>
  </mergeCells>
  <hyperlinks>
    <hyperlink ref="K1" location="'Main Menu'!A1" display="Main Menu"/>
  </hyperlinks>
  <printOptions/>
  <pageMargins left="0.75" right="0.75" top="1" bottom="1" header="0.5" footer="0.5"/>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1:T45"/>
  <sheetViews>
    <sheetView workbookViewId="0" topLeftCell="A1">
      <selection activeCell="H1" sqref="H1:J1"/>
    </sheetView>
  </sheetViews>
  <sheetFormatPr defaultColWidth="8.8515625" defaultRowHeight="12.75"/>
  <cols>
    <col min="1" max="4" width="8.8515625" style="0" customWidth="1"/>
    <col min="5" max="6" width="11.140625" style="0" customWidth="1"/>
  </cols>
  <sheetData>
    <row r="1" spans="6:10" ht="34.5" customHeight="1">
      <c r="F1" s="164" t="s">
        <v>193</v>
      </c>
      <c r="H1" s="287" t="s">
        <v>282</v>
      </c>
      <c r="I1" s="287"/>
      <c r="J1" s="287"/>
    </row>
    <row r="2" spans="18:20" ht="12">
      <c r="R2" t="s">
        <v>114</v>
      </c>
      <c r="S2" t="s">
        <v>115</v>
      </c>
      <c r="T2" t="s">
        <v>116</v>
      </c>
    </row>
    <row r="3" spans="18:20" ht="12">
      <c r="R3" s="2" t="s">
        <v>108</v>
      </c>
      <c r="S3">
        <v>1</v>
      </c>
      <c r="T3">
        <v>1</v>
      </c>
    </row>
    <row r="4" spans="1:20" ht="12">
      <c r="A4" s="46"/>
      <c r="R4" s="2" t="s">
        <v>109</v>
      </c>
      <c r="T4">
        <v>1</v>
      </c>
    </row>
    <row r="5" spans="1:20" ht="12">
      <c r="A5" s="46"/>
      <c r="R5" s="2" t="s">
        <v>110</v>
      </c>
      <c r="S5">
        <v>4</v>
      </c>
      <c r="T5">
        <v>1</v>
      </c>
    </row>
    <row r="6" spans="1:18" ht="12">
      <c r="A6" s="46"/>
      <c r="R6" s="2" t="s">
        <v>111</v>
      </c>
    </row>
    <row r="7" spans="1:19" ht="12">
      <c r="A7" s="46"/>
      <c r="R7" s="2" t="s">
        <v>112</v>
      </c>
      <c r="S7">
        <v>2</v>
      </c>
    </row>
    <row r="8" spans="1:19" ht="12">
      <c r="A8" s="46"/>
      <c r="R8" s="2" t="s">
        <v>113</v>
      </c>
      <c r="S8">
        <v>1</v>
      </c>
    </row>
    <row r="9" ht="12">
      <c r="A9" s="46"/>
    </row>
    <row r="10" ht="12">
      <c r="A10" s="46"/>
    </row>
    <row r="11" ht="12">
      <c r="A11" s="46"/>
    </row>
    <row r="12" spans="1:2" ht="12">
      <c r="A12" s="64"/>
      <c r="B12" s="64"/>
    </row>
    <row r="13" spans="1:2" ht="12">
      <c r="A13" s="64"/>
      <c r="B13" s="64"/>
    </row>
    <row r="14" spans="1:2" ht="12">
      <c r="A14" s="64"/>
      <c r="B14" s="64"/>
    </row>
    <row r="16" ht="12">
      <c r="B16" s="43"/>
    </row>
    <row r="17" spans="8:10" ht="12">
      <c r="H17" s="43"/>
      <c r="I17" s="43"/>
      <c r="J17" s="44"/>
    </row>
    <row r="20" spans="7:9" ht="15">
      <c r="G20" s="18"/>
      <c r="I20" s="44"/>
    </row>
    <row r="21" ht="12">
      <c r="A21" t="s">
        <v>117</v>
      </c>
    </row>
    <row r="23" spans="1:3" ht="12">
      <c r="A23" s="43"/>
      <c r="B23" s="67" t="s">
        <v>77</v>
      </c>
      <c r="C23" s="23" t="s">
        <v>80</v>
      </c>
    </row>
    <row r="24" spans="2:3" ht="12">
      <c r="B24" s="65">
        <v>4.5</v>
      </c>
      <c r="C24" s="65">
        <v>4.2</v>
      </c>
    </row>
    <row r="25" spans="2:19" ht="12">
      <c r="B25" s="65">
        <v>5</v>
      </c>
      <c r="C25" s="65">
        <v>7.2</v>
      </c>
      <c r="R25" t="s">
        <v>105</v>
      </c>
      <c r="S25" t="s">
        <v>106</v>
      </c>
    </row>
    <row r="26" spans="2:19" ht="12">
      <c r="B26" s="65">
        <v>5.3</v>
      </c>
      <c r="C26" s="65">
        <v>8</v>
      </c>
      <c r="R26" s="46">
        <v>56</v>
      </c>
      <c r="S26">
        <v>19</v>
      </c>
    </row>
    <row r="27" spans="2:19" ht="12">
      <c r="B27" s="65">
        <v>5.3</v>
      </c>
      <c r="C27" s="65">
        <v>3.5</v>
      </c>
      <c r="R27" s="46">
        <v>37</v>
      </c>
      <c r="S27">
        <v>25</v>
      </c>
    </row>
    <row r="28" spans="2:19" ht="12">
      <c r="B28" s="65">
        <v>6</v>
      </c>
      <c r="C28" s="65">
        <v>6.3</v>
      </c>
      <c r="R28" s="46">
        <v>57</v>
      </c>
      <c r="S28">
        <v>38</v>
      </c>
    </row>
    <row r="29" spans="2:18" ht="12">
      <c r="B29" s="65">
        <v>6</v>
      </c>
      <c r="C29" s="65">
        <v>5.1</v>
      </c>
      <c r="R29" s="46">
        <v>39</v>
      </c>
    </row>
    <row r="30" spans="2:18" ht="12">
      <c r="B30" s="65">
        <v>7.6</v>
      </c>
      <c r="C30" s="65">
        <v>4.6</v>
      </c>
      <c r="R30" s="46">
        <v>35</v>
      </c>
    </row>
    <row r="31" spans="2:18" ht="12">
      <c r="B31" s="65">
        <v>7.7</v>
      </c>
      <c r="C31" s="65">
        <v>4.8</v>
      </c>
      <c r="R31" s="46">
        <v>40</v>
      </c>
    </row>
    <row r="32" spans="2:18" ht="12">
      <c r="B32" s="65">
        <v>6.4</v>
      </c>
      <c r="C32" s="65">
        <v>2</v>
      </c>
      <c r="R32" s="46">
        <v>66</v>
      </c>
    </row>
    <row r="33" spans="2:18" ht="12">
      <c r="B33" s="65">
        <v>7.2</v>
      </c>
      <c r="C33" s="65">
        <v>5</v>
      </c>
      <c r="R33" s="46">
        <v>19</v>
      </c>
    </row>
    <row r="34" spans="2:20" ht="12">
      <c r="B34" s="65">
        <v>7</v>
      </c>
      <c r="C34" s="65">
        <v>5.4</v>
      </c>
      <c r="R34" s="64">
        <f>AVERAGE(R26:R33)</f>
        <v>43.625</v>
      </c>
      <c r="S34" s="64">
        <f>AVERAGE(S26:S33)</f>
        <v>27.333333333333332</v>
      </c>
      <c r="T34" t="s">
        <v>74</v>
      </c>
    </row>
    <row r="35" spans="2:20" ht="12">
      <c r="B35" s="65">
        <v>5.6</v>
      </c>
      <c r="C35" s="65"/>
      <c r="R35" s="64">
        <f>VAR(R26:R33)</f>
        <v>227.41071428571428</v>
      </c>
      <c r="S35" s="64">
        <f>VAR(S26:S33)</f>
        <v>94.33333333333326</v>
      </c>
      <c r="T35" t="s">
        <v>67</v>
      </c>
    </row>
    <row r="36" spans="2:20" ht="12">
      <c r="B36" s="65">
        <v>8.4</v>
      </c>
      <c r="C36" s="65"/>
      <c r="R36" s="64">
        <f>STDEV(R26:R33)</f>
        <v>15.080143045930111</v>
      </c>
      <c r="S36" s="64">
        <f>STDEV(S26:S33)</f>
        <v>9.712534856222307</v>
      </c>
      <c r="T36" t="s">
        <v>99</v>
      </c>
    </row>
    <row r="37" spans="2:3" ht="12">
      <c r="B37" s="65">
        <v>8.3</v>
      </c>
      <c r="C37" s="65"/>
    </row>
    <row r="38" spans="2:20" ht="12">
      <c r="B38" s="65">
        <v>9.5</v>
      </c>
      <c r="C38" s="65"/>
      <c r="S38" s="43">
        <f>TTEST(R25:R33,S26:S28,2,3)</f>
        <v>0.08082622289458061</v>
      </c>
      <c r="T38" t="s">
        <v>107</v>
      </c>
    </row>
    <row r="39" spans="2:4" ht="12">
      <c r="B39" s="44">
        <f>COUNT(B24:B38)</f>
        <v>15</v>
      </c>
      <c r="C39" s="44">
        <f>COUNT(C24:C38)</f>
        <v>11</v>
      </c>
      <c r="D39" s="62" t="s">
        <v>118</v>
      </c>
    </row>
    <row r="40" spans="2:4" ht="12">
      <c r="B40" s="66">
        <f>AVERAGE(B24:B38)</f>
        <v>6.653333333333333</v>
      </c>
      <c r="C40" s="66">
        <f>AVERAGE(C24:C38)</f>
        <v>5.1</v>
      </c>
      <c r="D40" s="62" t="s">
        <v>74</v>
      </c>
    </row>
    <row r="41" spans="2:4" ht="12">
      <c r="B41" s="43">
        <f>VAR(B24:B38)</f>
        <v>2.095523809523814</v>
      </c>
      <c r="C41" s="43">
        <f>VAR(C24:C34)</f>
        <v>2.7680000000000065</v>
      </c>
      <c r="D41" s="62" t="s">
        <v>67</v>
      </c>
    </row>
    <row r="42" spans="2:4" ht="12">
      <c r="B42" s="43">
        <f>STDEV(B24:B38)</f>
        <v>1.4475924183014408</v>
      </c>
      <c r="C42" s="43">
        <f>STDEV(C24:C34)</f>
        <v>1.6637307474468357</v>
      </c>
      <c r="D42" s="62" t="s">
        <v>99</v>
      </c>
    </row>
    <row r="43" spans="2:4" ht="12">
      <c r="B43" s="43">
        <f>B42/SQRT(B39)</f>
        <v>0.37376675521184005</v>
      </c>
      <c r="C43" s="43">
        <f>C42/SQRT(C39)</f>
        <v>0.5016336946780631</v>
      </c>
      <c r="D43" s="62" t="s">
        <v>119</v>
      </c>
    </row>
    <row r="44" spans="2:4" ht="12">
      <c r="B44" s="43"/>
      <c r="C44" s="43">
        <f>TTEST(B24:B38,C24:C34,2,2)</f>
        <v>0.018024579516313834</v>
      </c>
      <c r="D44" s="62" t="s">
        <v>120</v>
      </c>
    </row>
    <row r="45" spans="2:4" ht="12">
      <c r="B45" s="43"/>
      <c r="C45" s="43">
        <f>TTEST(B24:B38,C24:C34,2,3)</f>
        <v>0.022102091788679088</v>
      </c>
      <c r="D45" s="62" t="s">
        <v>121</v>
      </c>
    </row>
  </sheetData>
  <sheetProtection password="C774" sheet="1" objects="1" scenarios="1"/>
  <mergeCells count="1">
    <mergeCell ref="H1:J1"/>
  </mergeCells>
  <hyperlinks>
    <hyperlink ref="F1" location="'Main Menu'!A1" display="Main Menu"/>
  </hyperlinks>
  <printOptions/>
  <pageMargins left="0.75" right="0.75" top="1" bottom="1" header="0.5" footer="0.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N80"/>
  <sheetViews>
    <sheetView workbookViewId="0" topLeftCell="A1">
      <selection activeCell="F5" sqref="F5"/>
    </sheetView>
  </sheetViews>
  <sheetFormatPr defaultColWidth="8.8515625" defaultRowHeight="12.75"/>
  <cols>
    <col min="1" max="1" width="7.28125" style="159" customWidth="1"/>
    <col min="2" max="2" width="11.140625" style="159" customWidth="1"/>
    <col min="3" max="3" width="11.8515625" style="159" customWidth="1"/>
    <col min="4" max="4" width="12.8515625" style="159" customWidth="1"/>
    <col min="5" max="5" width="11.28125" style="159" customWidth="1"/>
    <col min="6" max="6" width="4.8515625" style="159" customWidth="1"/>
    <col min="7" max="7" width="16.421875" style="159" customWidth="1"/>
    <col min="8" max="10" width="8.8515625" style="159" customWidth="1"/>
    <col min="11" max="11" width="10.421875" style="159" customWidth="1"/>
    <col min="12" max="12" width="12.421875" style="159" customWidth="1"/>
    <col min="13" max="16384" width="8.8515625" style="159" customWidth="1"/>
  </cols>
  <sheetData>
    <row r="1" spans="1:14" ht="12">
      <c r="A1" s="290" t="s">
        <v>323</v>
      </c>
      <c r="B1" s="291"/>
      <c r="C1" s="291"/>
      <c r="D1" s="291"/>
      <c r="E1" s="291"/>
      <c r="F1" s="291"/>
      <c r="G1" s="291"/>
      <c r="H1" s="291"/>
      <c r="I1" s="291"/>
      <c r="J1" s="291"/>
      <c r="K1" s="291"/>
      <c r="L1" s="291"/>
      <c r="M1" s="292"/>
      <c r="N1" s="59"/>
    </row>
    <row r="2" spans="1:14" ht="12">
      <c r="A2" s="293"/>
      <c r="B2" s="294"/>
      <c r="C2" s="294"/>
      <c r="D2" s="294"/>
      <c r="E2" s="294"/>
      <c r="F2" s="294"/>
      <c r="G2" s="294"/>
      <c r="H2" s="294"/>
      <c r="I2" s="294"/>
      <c r="J2" s="294"/>
      <c r="K2" s="294"/>
      <c r="L2" s="294"/>
      <c r="M2" s="295"/>
      <c r="N2" s="59"/>
    </row>
    <row r="3" spans="1:14" ht="12.75" customHeight="1">
      <c r="A3" s="293"/>
      <c r="B3" s="294"/>
      <c r="C3" s="294"/>
      <c r="D3" s="294"/>
      <c r="E3" s="294"/>
      <c r="F3" s="294"/>
      <c r="G3" s="294"/>
      <c r="H3" s="294"/>
      <c r="I3" s="294"/>
      <c r="J3" s="294"/>
      <c r="K3" s="294"/>
      <c r="L3" s="294"/>
      <c r="M3" s="295"/>
      <c r="N3" s="59"/>
    </row>
    <row r="4" spans="1:14" ht="12">
      <c r="A4" s="296"/>
      <c r="B4" s="297"/>
      <c r="C4" s="297"/>
      <c r="D4" s="297"/>
      <c r="E4" s="297"/>
      <c r="F4" s="297"/>
      <c r="G4" s="297"/>
      <c r="H4" s="297"/>
      <c r="I4" s="297"/>
      <c r="J4" s="297"/>
      <c r="K4" s="297"/>
      <c r="L4" s="297"/>
      <c r="M4" s="298"/>
      <c r="N4" s="59"/>
    </row>
    <row r="5" spans="2:11" ht="26.25" customHeight="1">
      <c r="B5" s="233"/>
      <c r="C5" s="234"/>
      <c r="D5" s="234"/>
      <c r="E5" s="234"/>
      <c r="F5" s="234"/>
      <c r="G5" s="167" t="s">
        <v>193</v>
      </c>
      <c r="I5" s="288" t="s">
        <v>284</v>
      </c>
      <c r="J5" s="289"/>
      <c r="K5" s="289"/>
    </row>
    <row r="6" spans="2:11" s="231" customFormat="1" ht="20.25" customHeight="1">
      <c r="B6" s="233"/>
      <c r="C6" s="234"/>
      <c r="D6" s="234"/>
      <c r="E6" s="234"/>
      <c r="F6" s="234"/>
      <c r="G6" s="234"/>
      <c r="K6" s="235"/>
    </row>
    <row r="7" spans="2:5" s="62" customFormat="1" ht="12">
      <c r="B7" s="224" t="s">
        <v>26</v>
      </c>
      <c r="C7" s="224" t="s">
        <v>168</v>
      </c>
      <c r="D7" s="224" t="s">
        <v>169</v>
      </c>
      <c r="E7" s="224" t="s">
        <v>170</v>
      </c>
    </row>
    <row r="8" spans="2:13" ht="12">
      <c r="B8" s="225">
        <v>0.7</v>
      </c>
      <c r="C8" s="225">
        <v>1.1</v>
      </c>
      <c r="D8" s="225">
        <v>1.5</v>
      </c>
      <c r="E8" s="225">
        <v>1.2</v>
      </c>
      <c r="G8" s="214"/>
      <c r="H8" s="214"/>
      <c r="I8" s="214"/>
      <c r="J8" s="214"/>
      <c r="K8" s="214"/>
      <c r="L8" s="214"/>
      <c r="M8" s="214"/>
    </row>
    <row r="9" spans="2:13" ht="12">
      <c r="B9" s="225">
        <v>1.2</v>
      </c>
      <c r="C9" s="225">
        <v>1.3</v>
      </c>
      <c r="D9" s="225">
        <v>1.1</v>
      </c>
      <c r="E9" s="225">
        <v>0.8</v>
      </c>
      <c r="G9" s="232"/>
      <c r="H9" s="232"/>
      <c r="I9" s="232"/>
      <c r="J9" s="232"/>
      <c r="K9" s="232"/>
      <c r="L9" s="232"/>
      <c r="M9" s="232"/>
    </row>
    <row r="10" spans="2:5" ht="12">
      <c r="B10" s="225">
        <v>1.1</v>
      </c>
      <c r="C10" s="225">
        <v>0.9</v>
      </c>
      <c r="D10" s="225">
        <v>0.8</v>
      </c>
      <c r="E10" s="225">
        <v>0.7</v>
      </c>
    </row>
    <row r="11" spans="2:5" ht="12">
      <c r="B11" s="225">
        <v>0.7</v>
      </c>
      <c r="C11" s="225">
        <v>0.7</v>
      </c>
      <c r="D11" s="225">
        <v>0.9</v>
      </c>
      <c r="E11" s="225">
        <v>0.7</v>
      </c>
    </row>
    <row r="12" spans="2:5" ht="12">
      <c r="B12" s="225">
        <v>1</v>
      </c>
      <c r="C12" s="225">
        <v>0.8</v>
      </c>
      <c r="D12" s="225">
        <v>1.1</v>
      </c>
      <c r="E12" s="225">
        <v>8.4</v>
      </c>
    </row>
    <row r="13" spans="2:5" ht="12">
      <c r="B13" s="225">
        <v>0.5</v>
      </c>
      <c r="C13" s="225">
        <v>1.4</v>
      </c>
      <c r="D13" s="225">
        <v>0.9</v>
      </c>
      <c r="E13" s="225">
        <v>1.8</v>
      </c>
    </row>
    <row r="14" spans="2:5" ht="12">
      <c r="B14" s="225">
        <v>1.6</v>
      </c>
      <c r="C14" s="225">
        <v>0.5</v>
      </c>
      <c r="D14" s="225">
        <v>7</v>
      </c>
      <c r="E14" s="225">
        <v>0.8</v>
      </c>
    </row>
    <row r="15" spans="2:5" ht="12">
      <c r="B15" s="225">
        <v>0.8</v>
      </c>
      <c r="C15" s="225">
        <v>1.1</v>
      </c>
      <c r="D15" s="225">
        <v>1.4</v>
      </c>
      <c r="E15" s="225">
        <v>1</v>
      </c>
    </row>
    <row r="16" spans="2:5" ht="12">
      <c r="B16" s="225">
        <v>0.6</v>
      </c>
      <c r="C16" s="225">
        <v>2</v>
      </c>
      <c r="D16" s="225">
        <v>0.8</v>
      </c>
      <c r="E16" s="225">
        <v>0.7</v>
      </c>
    </row>
    <row r="17" spans="2:13" ht="12">
      <c r="B17" s="225">
        <v>0.6</v>
      </c>
      <c r="C17" s="225">
        <v>0.8</v>
      </c>
      <c r="D17" s="225">
        <v>1.1</v>
      </c>
      <c r="E17" s="225">
        <v>2.8</v>
      </c>
      <c r="G17" s="227" t="s">
        <v>171</v>
      </c>
      <c r="H17" s="227"/>
      <c r="I17" s="227"/>
      <c r="J17" s="227"/>
      <c r="K17" s="227"/>
      <c r="L17" s="227"/>
      <c r="M17" s="227"/>
    </row>
    <row r="18" spans="2:13" ht="12">
      <c r="B18" s="225">
        <v>0.6</v>
      </c>
      <c r="C18" s="225">
        <v>0.7</v>
      </c>
      <c r="D18" s="225">
        <v>0.6</v>
      </c>
      <c r="E18" s="225">
        <v>1.5</v>
      </c>
      <c r="G18" s="227"/>
      <c r="H18" s="227"/>
      <c r="I18" s="227"/>
      <c r="J18" s="227"/>
      <c r="K18" s="227"/>
      <c r="L18" s="227"/>
      <c r="M18" s="227"/>
    </row>
    <row r="19" spans="2:13" ht="12.75" thickBot="1">
      <c r="B19" s="225">
        <v>1.3</v>
      </c>
      <c r="C19" s="225">
        <v>1.4</v>
      </c>
      <c r="D19" s="225">
        <v>1.2</v>
      </c>
      <c r="E19" s="225">
        <v>0.6</v>
      </c>
      <c r="G19" s="227" t="s">
        <v>172</v>
      </c>
      <c r="H19" s="227"/>
      <c r="I19" s="227"/>
      <c r="J19" s="227"/>
      <c r="K19" s="227"/>
      <c r="L19" s="227"/>
      <c r="M19" s="227"/>
    </row>
    <row r="20" spans="2:13" ht="12">
      <c r="B20" s="225">
        <v>0.5</v>
      </c>
      <c r="C20" s="225">
        <v>1.1</v>
      </c>
      <c r="D20" s="225">
        <v>0.6</v>
      </c>
      <c r="E20" s="225">
        <v>1.3</v>
      </c>
      <c r="G20" s="228" t="s">
        <v>173</v>
      </c>
      <c r="H20" s="228" t="s">
        <v>174</v>
      </c>
      <c r="I20" s="228" t="s">
        <v>175</v>
      </c>
      <c r="J20" s="228" t="s">
        <v>176</v>
      </c>
      <c r="K20" s="228" t="s">
        <v>67</v>
      </c>
      <c r="L20" s="227"/>
      <c r="M20" s="227"/>
    </row>
    <row r="21" spans="2:13" ht="12">
      <c r="B21" s="225">
        <v>1</v>
      </c>
      <c r="C21" s="225">
        <v>1.5</v>
      </c>
      <c r="D21" s="225">
        <v>1.2</v>
      </c>
      <c r="E21" s="225">
        <v>0.5</v>
      </c>
      <c r="G21" s="229" t="s">
        <v>26</v>
      </c>
      <c r="H21" s="229">
        <v>25</v>
      </c>
      <c r="I21" s="229">
        <v>20.7</v>
      </c>
      <c r="J21" s="229">
        <v>0.828</v>
      </c>
      <c r="K21" s="229">
        <v>0.07626666666666655</v>
      </c>
      <c r="L21" s="227"/>
      <c r="M21" s="227"/>
    </row>
    <row r="22" spans="2:13" ht="12">
      <c r="B22" s="225">
        <v>1</v>
      </c>
      <c r="C22" s="225">
        <v>1</v>
      </c>
      <c r="D22" s="225">
        <v>0.6</v>
      </c>
      <c r="E22" s="225">
        <v>1.2</v>
      </c>
      <c r="G22" s="229" t="s">
        <v>168</v>
      </c>
      <c r="H22" s="229">
        <v>25</v>
      </c>
      <c r="I22" s="229">
        <v>25.3</v>
      </c>
      <c r="J22" s="229">
        <v>1.0119999999999996</v>
      </c>
      <c r="K22" s="229">
        <v>0.12610000000000068</v>
      </c>
      <c r="L22" s="227"/>
      <c r="M22" s="227"/>
    </row>
    <row r="23" spans="2:13" ht="12">
      <c r="B23" s="225">
        <v>0.8</v>
      </c>
      <c r="C23" s="225">
        <v>0.9</v>
      </c>
      <c r="D23" s="225">
        <v>0.8</v>
      </c>
      <c r="E23" s="225">
        <v>8.2</v>
      </c>
      <c r="G23" s="229" t="s">
        <v>169</v>
      </c>
      <c r="H23" s="229">
        <v>25</v>
      </c>
      <c r="I23" s="229">
        <v>51</v>
      </c>
      <c r="J23" s="229">
        <v>2.04</v>
      </c>
      <c r="K23" s="229">
        <v>8.773333333333332</v>
      </c>
      <c r="L23" s="227"/>
      <c r="M23" s="227"/>
    </row>
    <row r="24" spans="2:13" ht="12.75" thickBot="1">
      <c r="B24" s="225">
        <v>0.8</v>
      </c>
      <c r="C24" s="225">
        <v>0.9</v>
      </c>
      <c r="D24" s="225">
        <v>0.8</v>
      </c>
      <c r="E24" s="225">
        <v>0.4</v>
      </c>
      <c r="G24" s="230" t="s">
        <v>170</v>
      </c>
      <c r="H24" s="230">
        <v>25</v>
      </c>
      <c r="I24" s="230">
        <v>49.7</v>
      </c>
      <c r="J24" s="230">
        <v>1.9880000000000002</v>
      </c>
      <c r="K24" s="230">
        <v>8.201933333333335</v>
      </c>
      <c r="L24" s="227"/>
      <c r="M24" s="227"/>
    </row>
    <row r="25" spans="2:13" ht="12">
      <c r="B25" s="225">
        <v>0.6</v>
      </c>
      <c r="C25" s="225">
        <v>0.6</v>
      </c>
      <c r="D25" s="225">
        <v>1.3</v>
      </c>
      <c r="E25" s="225">
        <v>0.6</v>
      </c>
      <c r="G25" s="227"/>
      <c r="H25" s="227"/>
      <c r="I25" s="227"/>
      <c r="J25" s="227"/>
      <c r="K25" s="227"/>
      <c r="L25" s="227"/>
      <c r="M25" s="227"/>
    </row>
    <row r="26" spans="2:13" ht="12">
      <c r="B26" s="225">
        <v>0.5</v>
      </c>
      <c r="C26" s="225">
        <v>0.9</v>
      </c>
      <c r="D26" s="225">
        <v>1.3</v>
      </c>
      <c r="E26" s="225">
        <v>1.6</v>
      </c>
      <c r="G26" s="227"/>
      <c r="H26" s="227"/>
      <c r="I26" s="227"/>
      <c r="J26" s="227"/>
      <c r="K26" s="227"/>
      <c r="L26" s="227"/>
      <c r="M26" s="227"/>
    </row>
    <row r="27" spans="2:13" ht="12.75" thickBot="1">
      <c r="B27" s="225">
        <v>0.9</v>
      </c>
      <c r="C27" s="225">
        <v>0.9</v>
      </c>
      <c r="D27" s="225">
        <v>1.5</v>
      </c>
      <c r="E27" s="225">
        <v>0.5</v>
      </c>
      <c r="G27" s="227" t="s">
        <v>177</v>
      </c>
      <c r="H27" s="227"/>
      <c r="I27" s="227"/>
      <c r="J27" s="227"/>
      <c r="K27" s="227"/>
      <c r="L27" s="227"/>
      <c r="M27" s="227"/>
    </row>
    <row r="28" spans="2:13" ht="12">
      <c r="B28" s="225">
        <v>0.7</v>
      </c>
      <c r="C28" s="225">
        <v>1.2</v>
      </c>
      <c r="D28" s="225">
        <v>1.5</v>
      </c>
      <c r="E28" s="225">
        <v>11.4</v>
      </c>
      <c r="G28" s="228" t="s">
        <v>178</v>
      </c>
      <c r="H28" s="228" t="s">
        <v>179</v>
      </c>
      <c r="I28" s="228" t="s">
        <v>180</v>
      </c>
      <c r="J28" s="228" t="s">
        <v>181</v>
      </c>
      <c r="K28" s="228" t="s">
        <v>182</v>
      </c>
      <c r="L28" s="228" t="s">
        <v>183</v>
      </c>
      <c r="M28" s="228" t="s">
        <v>184</v>
      </c>
    </row>
    <row r="29" spans="2:13" ht="12">
      <c r="B29" s="225">
        <v>0.7</v>
      </c>
      <c r="C29" s="225">
        <v>1.2</v>
      </c>
      <c r="D29" s="225">
        <v>0.4</v>
      </c>
      <c r="E29" s="225">
        <v>0.8</v>
      </c>
      <c r="G29" s="229" t="s">
        <v>185</v>
      </c>
      <c r="H29" s="229">
        <v>30.37789999999984</v>
      </c>
      <c r="I29" s="229">
        <v>3</v>
      </c>
      <c r="J29" s="229">
        <v>10.125966666666613</v>
      </c>
      <c r="K29" s="229">
        <v>2.3579422077934558</v>
      </c>
      <c r="L29" s="229">
        <v>0.0764786914243917</v>
      </c>
      <c r="M29" s="229">
        <v>2.6993926036405256</v>
      </c>
    </row>
    <row r="30" spans="2:13" ht="12">
      <c r="B30" s="225">
        <v>0.7</v>
      </c>
      <c r="C30" s="225">
        <v>1.3</v>
      </c>
      <c r="D30" s="225">
        <v>12.9</v>
      </c>
      <c r="E30" s="225">
        <v>0.7</v>
      </c>
      <c r="G30" s="229" t="s">
        <v>186</v>
      </c>
      <c r="H30" s="229">
        <v>412.2632</v>
      </c>
      <c r="I30" s="229">
        <v>96</v>
      </c>
      <c r="J30" s="229">
        <v>4.294408333333333</v>
      </c>
      <c r="K30" s="229"/>
      <c r="L30" s="229"/>
      <c r="M30" s="229"/>
    </row>
    <row r="31" spans="2:13" ht="12">
      <c r="B31" s="225">
        <v>0.7</v>
      </c>
      <c r="C31" s="225">
        <v>0.4</v>
      </c>
      <c r="D31" s="225">
        <v>1.1</v>
      </c>
      <c r="E31" s="225">
        <v>0.6</v>
      </c>
      <c r="G31" s="229"/>
      <c r="H31" s="229"/>
      <c r="I31" s="229"/>
      <c r="J31" s="229"/>
      <c r="K31" s="229"/>
      <c r="L31" s="229"/>
      <c r="M31" s="229"/>
    </row>
    <row r="32" spans="2:13" ht="12.75" thickBot="1">
      <c r="B32" s="225">
        <v>1.1</v>
      </c>
      <c r="C32" s="225">
        <v>0.7</v>
      </c>
      <c r="D32" s="225">
        <v>8.6</v>
      </c>
      <c r="E32" s="225">
        <v>0.9</v>
      </c>
      <c r="G32" s="230" t="s">
        <v>187</v>
      </c>
      <c r="H32" s="230">
        <v>442.6410999999998</v>
      </c>
      <c r="I32" s="230">
        <v>99</v>
      </c>
      <c r="J32" s="230"/>
      <c r="K32" s="230"/>
      <c r="L32" s="230"/>
      <c r="M32" s="230"/>
    </row>
    <row r="33" spans="1:5" ht="12">
      <c r="A33" s="226" t="s">
        <v>254</v>
      </c>
      <c r="B33" s="24">
        <f>AVERAGE(B8:B32)</f>
        <v>0.828</v>
      </c>
      <c r="C33" s="24">
        <f>AVERAGE(C8:C32)</f>
        <v>1.0119999999999996</v>
      </c>
      <c r="D33" s="24">
        <f>AVERAGE(D8:D32)</f>
        <v>2.0400000000000005</v>
      </c>
      <c r="E33" s="24">
        <f>AVERAGE(E8:E32)</f>
        <v>1.9880000000000002</v>
      </c>
    </row>
    <row r="34" spans="2:5" ht="12">
      <c r="B34" s="225"/>
      <c r="C34" s="225"/>
      <c r="D34" s="225"/>
      <c r="E34" s="225"/>
    </row>
    <row r="35" spans="2:5" ht="12">
      <c r="B35" s="225"/>
      <c r="C35" s="225"/>
      <c r="D35" s="225"/>
      <c r="E35" s="225"/>
    </row>
    <row r="36" spans="2:5" ht="12">
      <c r="B36" s="225"/>
      <c r="C36" s="225"/>
      <c r="D36" s="225"/>
      <c r="E36" s="225"/>
    </row>
    <row r="37" spans="2:5" ht="12">
      <c r="B37" s="225"/>
      <c r="C37" s="225"/>
      <c r="D37" s="225"/>
      <c r="E37" s="225"/>
    </row>
    <row r="38" spans="2:5" ht="12">
      <c r="B38" s="225"/>
      <c r="C38" s="225"/>
      <c r="E38" s="225"/>
    </row>
    <row r="39" spans="2:5" ht="12">
      <c r="B39" s="225"/>
      <c r="C39" s="225"/>
      <c r="E39" s="225"/>
    </row>
    <row r="53" ht="12">
      <c r="E53" s="148"/>
    </row>
    <row r="57" spans="3:5" ht="12">
      <c r="C57" s="66"/>
      <c r="E57" s="66"/>
    </row>
    <row r="58" ht="12">
      <c r="D58" s="148"/>
    </row>
    <row r="59" spans="3:7" ht="12">
      <c r="C59"/>
      <c r="D59" s="66"/>
      <c r="E59"/>
      <c r="G59" s="160"/>
    </row>
    <row r="60" spans="3:7" ht="12">
      <c r="C60"/>
      <c r="E60"/>
      <c r="G60" s="62"/>
    </row>
    <row r="61" spans="3:8" ht="12.75" thickBot="1">
      <c r="C61"/>
      <c r="D61"/>
      <c r="E61"/>
      <c r="G61" s="62"/>
      <c r="H61" s="44"/>
    </row>
    <row r="62" spans="2:8" ht="12">
      <c r="B62" s="148"/>
      <c r="C62" s="161"/>
      <c r="D62"/>
      <c r="E62" s="161"/>
      <c r="G62" s="62"/>
      <c r="H62" s="44"/>
    </row>
    <row r="63" spans="2:6" ht="12.75" thickBot="1">
      <c r="B63" s="66"/>
      <c r="C63" s="162"/>
      <c r="D63"/>
      <c r="E63" s="162"/>
      <c r="F63" s="62"/>
    </row>
    <row r="64" spans="3:5" ht="12">
      <c r="C64" s="162"/>
      <c r="D64" s="161"/>
      <c r="E64" s="162"/>
    </row>
    <row r="65" spans="2:7" ht="12">
      <c r="B65"/>
      <c r="C65" s="162"/>
      <c r="D65" s="162"/>
      <c r="E65" s="162"/>
      <c r="F65"/>
      <c r="G65"/>
    </row>
    <row r="66" spans="2:7" ht="12.75" thickBot="1">
      <c r="B66"/>
      <c r="C66" s="163"/>
      <c r="D66" s="162"/>
      <c r="E66" s="163"/>
      <c r="F66"/>
      <c r="G66"/>
    </row>
    <row r="67" spans="2:7" ht="12.75" thickBot="1">
      <c r="B67"/>
      <c r="C67"/>
      <c r="D67" s="162"/>
      <c r="E67"/>
      <c r="F67"/>
      <c r="G67"/>
    </row>
    <row r="68" spans="2:7" ht="12.75" thickBot="1">
      <c r="B68" s="161"/>
      <c r="C68"/>
      <c r="D68" s="163"/>
      <c r="E68"/>
      <c r="F68"/>
      <c r="G68"/>
    </row>
    <row r="69" spans="2:7" ht="12.75" thickBot="1">
      <c r="B69" s="162"/>
      <c r="C69"/>
      <c r="D69"/>
      <c r="E69"/>
      <c r="F69"/>
      <c r="G69"/>
    </row>
    <row r="70" spans="2:7" ht="12">
      <c r="B70" s="162"/>
      <c r="C70" s="161"/>
      <c r="D70"/>
      <c r="E70" s="161"/>
      <c r="F70"/>
      <c r="G70"/>
    </row>
    <row r="71" spans="2:7" ht="12.75" thickBot="1">
      <c r="B71" s="162"/>
      <c r="C71" s="162"/>
      <c r="D71"/>
      <c r="E71" s="162"/>
      <c r="F71"/>
      <c r="G71"/>
    </row>
    <row r="72" spans="2:7" ht="12.75" thickBot="1">
      <c r="B72" s="163"/>
      <c r="C72" s="162"/>
      <c r="D72" s="161"/>
      <c r="E72" s="162"/>
      <c r="F72"/>
      <c r="G72"/>
    </row>
    <row r="73" spans="2:7" ht="12">
      <c r="B73"/>
      <c r="C73" s="162"/>
      <c r="D73" s="162"/>
      <c r="E73" s="162"/>
      <c r="F73"/>
      <c r="G73"/>
    </row>
    <row r="74" spans="2:7" ht="12.75" thickBot="1">
      <c r="B74"/>
      <c r="C74" s="163"/>
      <c r="D74" s="162"/>
      <c r="E74" s="163"/>
      <c r="F74"/>
      <c r="G74"/>
    </row>
    <row r="75" spans="2:7" ht="12.75" thickBot="1">
      <c r="B75"/>
      <c r="D75" s="162"/>
      <c r="F75"/>
      <c r="G75"/>
    </row>
    <row r="76" spans="2:7" ht="12.75" thickBot="1">
      <c r="B76" s="161"/>
      <c r="D76" s="163"/>
      <c r="F76" s="161"/>
      <c r="G76" s="161"/>
    </row>
    <row r="77" spans="2:7" ht="12">
      <c r="B77" s="162"/>
      <c r="F77" s="162"/>
      <c r="G77" s="162"/>
    </row>
    <row r="78" spans="2:7" ht="12">
      <c r="B78" s="162"/>
      <c r="F78" s="162"/>
      <c r="G78" s="162"/>
    </row>
    <row r="79" spans="2:7" ht="12">
      <c r="B79" s="162"/>
      <c r="F79" s="162"/>
      <c r="G79" s="162"/>
    </row>
    <row r="80" spans="2:7" ht="12.75" thickBot="1">
      <c r="B80" s="163"/>
      <c r="F80" s="163"/>
      <c r="G80" s="163"/>
    </row>
    <row r="107" ht="12" customHeight="1"/>
    <row r="108" ht="12" customHeight="1"/>
    <row r="109" ht="12" customHeight="1"/>
    <row r="110" ht="12" customHeight="1"/>
  </sheetData>
  <sheetProtection password="C774" sheet="1" objects="1" scenarios="1"/>
  <mergeCells count="2">
    <mergeCell ref="I5:K5"/>
    <mergeCell ref="A1:M4"/>
  </mergeCells>
  <hyperlinks>
    <hyperlink ref="G5" location="'Main Menu'!A1" display="Main Menu"/>
  </hyperlinks>
  <printOptions/>
  <pageMargins left="0.75" right="0.75" top="1" bottom="1" header="0.5" footer="0.5"/>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Y54"/>
  <sheetViews>
    <sheetView workbookViewId="0" topLeftCell="A1">
      <selection activeCell="C23" sqref="C23"/>
    </sheetView>
  </sheetViews>
  <sheetFormatPr defaultColWidth="8.8515625" defaultRowHeight="12.75"/>
  <cols>
    <col min="1" max="1" width="7.140625" style="0" customWidth="1"/>
    <col min="2" max="2" width="13.7109375" style="0" customWidth="1"/>
    <col min="3" max="4" width="8.8515625" style="0" customWidth="1"/>
    <col min="5" max="5" width="9.00390625" style="0" customWidth="1"/>
    <col min="6" max="6" width="8.8515625" style="0" customWidth="1"/>
    <col min="7" max="7" width="12.421875" style="0" customWidth="1"/>
    <col min="8" max="8" width="10.00390625" style="0" customWidth="1"/>
    <col min="9" max="9" width="8.8515625" style="0" customWidth="1"/>
    <col min="10" max="10" width="10.28125" style="0" customWidth="1"/>
    <col min="11" max="11" width="10.7109375" style="0" customWidth="1"/>
    <col min="12" max="12" width="11.28125" style="0" customWidth="1"/>
    <col min="13" max="13" width="10.140625" style="0" customWidth="1"/>
  </cols>
  <sheetData>
    <row r="1" spans="1:14" ht="33" customHeight="1">
      <c r="A1" s="299" t="s">
        <v>43</v>
      </c>
      <c r="B1" s="300"/>
      <c r="C1" s="300"/>
      <c r="D1" s="301"/>
      <c r="G1" s="164" t="s">
        <v>193</v>
      </c>
      <c r="K1" s="96"/>
      <c r="L1" s="287" t="s">
        <v>285</v>
      </c>
      <c r="M1" s="287"/>
      <c r="N1" s="287"/>
    </row>
    <row r="2" ht="12">
      <c r="K2" s="96"/>
    </row>
    <row r="3" spans="2:11" ht="15">
      <c r="B3" s="17" t="s">
        <v>20</v>
      </c>
      <c r="K3" s="96"/>
    </row>
    <row r="4" ht="12">
      <c r="K4" s="96"/>
    </row>
    <row r="5" spans="3:12" ht="15">
      <c r="C5" s="18" t="s">
        <v>5</v>
      </c>
      <c r="H5" s="3" t="s">
        <v>4</v>
      </c>
      <c r="K5" s="96"/>
      <c r="L5" s="1"/>
    </row>
    <row r="6" spans="3:11" ht="12">
      <c r="C6" s="23" t="s">
        <v>25</v>
      </c>
      <c r="D6" s="23" t="s">
        <v>26</v>
      </c>
      <c r="H6" s="23" t="s">
        <v>25</v>
      </c>
      <c r="I6" s="23" t="s">
        <v>26</v>
      </c>
      <c r="K6" s="96"/>
    </row>
    <row r="7" spans="2:11" ht="12">
      <c r="B7" s="23" t="s">
        <v>1</v>
      </c>
      <c r="C7" s="15">
        <v>2</v>
      </c>
      <c r="D7" s="15">
        <v>3</v>
      </c>
      <c r="E7">
        <f>C7+D7</f>
        <v>5</v>
      </c>
      <c r="G7" s="23" t="s">
        <v>1</v>
      </c>
      <c r="H7" s="25">
        <f>(C9/E9)*E7</f>
        <v>2.0588235294117645</v>
      </c>
      <c r="I7" s="25">
        <f>E7-H7</f>
        <v>2.9411764705882355</v>
      </c>
      <c r="J7">
        <f>H7+I7</f>
        <v>5</v>
      </c>
      <c r="K7" s="96"/>
    </row>
    <row r="8" spans="2:11" ht="12">
      <c r="B8" s="23" t="s">
        <v>6</v>
      </c>
      <c r="C8" s="15">
        <v>19</v>
      </c>
      <c r="D8" s="15">
        <v>27</v>
      </c>
      <c r="E8">
        <f>C8+D8</f>
        <v>46</v>
      </c>
      <c r="G8" s="23" t="s">
        <v>6</v>
      </c>
      <c r="H8" s="25">
        <f>(C9/E9)*E8</f>
        <v>18.941176470588236</v>
      </c>
      <c r="I8" s="25">
        <f>E8-H8</f>
        <v>27.058823529411764</v>
      </c>
      <c r="J8">
        <f>H8+I8</f>
        <v>46</v>
      </c>
      <c r="K8" s="96"/>
    </row>
    <row r="9" spans="3:11" ht="12">
      <c r="C9">
        <f>C7+C8</f>
        <v>21</v>
      </c>
      <c r="D9">
        <f>D7+D8</f>
        <v>30</v>
      </c>
      <c r="E9">
        <f>E7+E8</f>
        <v>51</v>
      </c>
      <c r="H9">
        <f>H7+H8</f>
        <v>21</v>
      </c>
      <c r="I9">
        <f>I7+I8</f>
        <v>30</v>
      </c>
      <c r="J9">
        <f>J7+J8</f>
        <v>51</v>
      </c>
      <c r="K9" s="96"/>
    </row>
    <row r="10" spans="1:11" ht="9" customHeight="1">
      <c r="A10" s="302"/>
      <c r="B10" s="302"/>
      <c r="C10" s="302"/>
      <c r="D10" s="302"/>
      <c r="E10" s="302"/>
      <c r="F10" s="302"/>
      <c r="G10" s="302"/>
      <c r="H10" s="302"/>
      <c r="I10" s="302"/>
      <c r="J10" s="302"/>
      <c r="K10" s="96"/>
    </row>
    <row r="12" spans="2:8" ht="15">
      <c r="B12" s="16" t="s">
        <v>27</v>
      </c>
      <c r="C12" s="22">
        <f>($C$7*$D$8)/($D$7*$C$8)</f>
        <v>0.9473684210526315</v>
      </c>
      <c r="G12" s="250"/>
      <c r="H12" s="22"/>
    </row>
    <row r="13" spans="2:7" ht="15">
      <c r="B13" s="16" t="s">
        <v>28</v>
      </c>
      <c r="C13" s="24">
        <f>POWER($C$7-$H$7,2)/$H$7+POWER($D$7-$I$7,2)/$I$7+POWER($C$8-$H$8,2)/$H$8+POWER($D$8-$I$8,2)/$I$8</f>
        <v>0.0031677018633540143</v>
      </c>
      <c r="E13" s="19" t="str">
        <f>IF(H7&lt;5,"Chi square inappropriate; an expected cell is &lt;5.",IF(I7&lt;5,"Chi square inappropriate; an expected cell is &lt;5.",IF(H8&lt;5,"Chi square inappropriate; an expected cell is &lt;5.",IF(I8&lt;5,"Chi square inappropriate; an expected cell is &lt;5.",""))))</f>
        <v>Chi square inappropriate; an expected cell is &lt;5.</v>
      </c>
      <c r="G13" s="16"/>
    </row>
    <row r="14" spans="2:7" ht="15">
      <c r="B14" s="16" t="s">
        <v>0</v>
      </c>
      <c r="C14" s="107">
        <f>CHITEST((C7:D8),(H7:I8))</f>
        <v>0.955116886693445</v>
      </c>
      <c r="G14" s="16"/>
    </row>
    <row r="15" spans="2:3" ht="12">
      <c r="B15" s="49" t="s">
        <v>289</v>
      </c>
      <c r="C15" s="22">
        <v>0.95</v>
      </c>
    </row>
    <row r="16" spans="2:7" ht="15">
      <c r="B16" s="16" t="s">
        <v>149</v>
      </c>
      <c r="C16" s="68">
        <f>C12*EXP(-NORMSINV((1-C15)/2)*C19)</f>
        <v>6.227212434275733</v>
      </c>
      <c r="G16" s="16"/>
    </row>
    <row r="17" spans="2:7" ht="15">
      <c r="B17" s="16" t="s">
        <v>150</v>
      </c>
      <c r="C17" s="68">
        <f>C12*EXP(NORMSINV((1-C15)/2)*C19)</f>
        <v>0.14412659511464737</v>
      </c>
      <c r="G17" s="16"/>
    </row>
    <row r="18" ht="12">
      <c r="A18" s="246" t="s">
        <v>152</v>
      </c>
    </row>
    <row r="19" spans="2:3" ht="12">
      <c r="B19" s="106" t="s">
        <v>151</v>
      </c>
      <c r="C19">
        <f>SQRT(1/C7+1/D7+1/C8+1/D8)</f>
        <v>0.9607299044568867</v>
      </c>
    </row>
    <row r="20" spans="9:11" ht="12">
      <c r="I20" s="257" t="s">
        <v>298</v>
      </c>
      <c r="J20" s="226" t="s">
        <v>298</v>
      </c>
      <c r="K20" s="43">
        <f>(D37+H37+L37+P37+T37+X37)/(D38+H38+L38+P38+T38+X38)</f>
        <v>1.568557451584735</v>
      </c>
    </row>
    <row r="21" spans="9:11" ht="12">
      <c r="I21" s="257" t="s">
        <v>301</v>
      </c>
      <c r="J21" s="226" t="s">
        <v>301</v>
      </c>
      <c r="K21" s="44">
        <f>C54</f>
        <v>0.0945991468237583</v>
      </c>
    </row>
    <row r="22" ht="16.5">
      <c r="F22" s="249" t="s">
        <v>306</v>
      </c>
    </row>
    <row r="23" spans="3:23" ht="15">
      <c r="C23" s="18" t="s">
        <v>290</v>
      </c>
      <c r="G23" s="18" t="s">
        <v>291</v>
      </c>
      <c r="J23" s="248"/>
      <c r="K23" s="18" t="s">
        <v>292</v>
      </c>
      <c r="O23" s="18" t="s">
        <v>293</v>
      </c>
      <c r="S23" s="18" t="s">
        <v>294</v>
      </c>
      <c r="W23" s="18" t="s">
        <v>295</v>
      </c>
    </row>
    <row r="24" spans="3:24" ht="12">
      <c r="C24" s="23" t="s">
        <v>25</v>
      </c>
      <c r="D24" s="23" t="s">
        <v>26</v>
      </c>
      <c r="G24" s="23" t="s">
        <v>25</v>
      </c>
      <c r="H24" s="23" t="s">
        <v>26</v>
      </c>
      <c r="J24" s="248"/>
      <c r="K24" s="23" t="s">
        <v>25</v>
      </c>
      <c r="L24" s="23" t="s">
        <v>26</v>
      </c>
      <c r="O24" s="23" t="s">
        <v>25</v>
      </c>
      <c r="P24" s="23" t="s">
        <v>26</v>
      </c>
      <c r="S24" s="23" t="s">
        <v>25</v>
      </c>
      <c r="T24" s="23" t="s">
        <v>26</v>
      </c>
      <c r="W24" s="23" t="s">
        <v>25</v>
      </c>
      <c r="X24" s="23" t="s">
        <v>26</v>
      </c>
    </row>
    <row r="25" spans="2:25" ht="12">
      <c r="B25" s="23" t="s">
        <v>1</v>
      </c>
      <c r="C25" s="15">
        <v>9</v>
      </c>
      <c r="D25" s="15">
        <v>6</v>
      </c>
      <c r="E25">
        <f>C25+D25</f>
        <v>15</v>
      </c>
      <c r="G25" s="15">
        <v>20</v>
      </c>
      <c r="H25" s="15">
        <v>21</v>
      </c>
      <c r="I25">
        <f>G25+H25</f>
        <v>41</v>
      </c>
      <c r="J25" s="248"/>
      <c r="K25" s="15"/>
      <c r="L25" s="15"/>
      <c r="M25">
        <f>K25+L25</f>
        <v>0</v>
      </c>
      <c r="O25" s="15"/>
      <c r="P25" s="15"/>
      <c r="Q25">
        <f>O25+P25</f>
        <v>0</v>
      </c>
      <c r="S25" s="15"/>
      <c r="T25" s="15"/>
      <c r="U25">
        <f>S25+T25</f>
        <v>0</v>
      </c>
      <c r="W25" s="15"/>
      <c r="X25" s="15"/>
      <c r="Y25">
        <f>W25+X25</f>
        <v>0</v>
      </c>
    </row>
    <row r="26" spans="2:25" ht="12">
      <c r="B26" s="23" t="s">
        <v>6</v>
      </c>
      <c r="C26" s="15">
        <v>115</v>
      </c>
      <c r="D26" s="15">
        <v>73</v>
      </c>
      <c r="E26">
        <f>C26+D26</f>
        <v>188</v>
      </c>
      <c r="G26" s="15">
        <v>596</v>
      </c>
      <c r="H26" s="15">
        <v>1171</v>
      </c>
      <c r="I26">
        <f>G26+H26</f>
        <v>1767</v>
      </c>
      <c r="J26" s="248"/>
      <c r="K26" s="15"/>
      <c r="L26" s="15"/>
      <c r="M26">
        <f>K26+L26</f>
        <v>0</v>
      </c>
      <c r="O26" s="15"/>
      <c r="P26" s="15"/>
      <c r="Q26">
        <f>O26+P26</f>
        <v>0</v>
      </c>
      <c r="S26" s="15"/>
      <c r="T26" s="15"/>
      <c r="U26">
        <f>S26+T26</f>
        <v>0</v>
      </c>
      <c r="W26" s="15"/>
      <c r="X26" s="15"/>
      <c r="Y26">
        <f>W26+X26</f>
        <v>0</v>
      </c>
    </row>
    <row r="27" spans="3:25" ht="12">
      <c r="C27">
        <f>C25+C26</f>
        <v>124</v>
      </c>
      <c r="D27">
        <f>D25+D26</f>
        <v>79</v>
      </c>
      <c r="E27">
        <f>E25+E26</f>
        <v>203</v>
      </c>
      <c r="G27">
        <f>G25+G26</f>
        <v>616</v>
      </c>
      <c r="H27">
        <f>H25+H26</f>
        <v>1192</v>
      </c>
      <c r="I27">
        <f>I25+I26</f>
        <v>1808</v>
      </c>
      <c r="J27" s="248"/>
      <c r="K27">
        <f>K25+K26</f>
        <v>0</v>
      </c>
      <c r="L27">
        <f>L25+L26</f>
        <v>0</v>
      </c>
      <c r="M27">
        <f>M25+M26</f>
        <v>0</v>
      </c>
      <c r="O27">
        <f>O25+O26</f>
        <v>0</v>
      </c>
      <c r="P27">
        <f>P25+P26</f>
        <v>0</v>
      </c>
      <c r="Q27">
        <f>Q25+Q26</f>
        <v>0</v>
      </c>
      <c r="S27">
        <f>S25+S26</f>
        <v>0</v>
      </c>
      <c r="T27">
        <f>T25+T26</f>
        <v>0</v>
      </c>
      <c r="U27">
        <f>U25+U26</f>
        <v>0</v>
      </c>
      <c r="W27">
        <f>W25+W26</f>
        <v>0</v>
      </c>
      <c r="X27">
        <f>X25+X26</f>
        <v>0</v>
      </c>
      <c r="Y27">
        <f>Y25+Y26</f>
        <v>0</v>
      </c>
    </row>
    <row r="29" spans="3:24" ht="15">
      <c r="C29" s="16" t="s">
        <v>27</v>
      </c>
      <c r="D29" s="22">
        <f>(C25*D26)/(D25*C26)</f>
        <v>0.9521739130434783</v>
      </c>
      <c r="G29" s="16" t="s">
        <v>27</v>
      </c>
      <c r="H29" s="22">
        <f>(G25*H26)/(H25*G26)</f>
        <v>1.871204857782039</v>
      </c>
      <c r="K29" s="16" t="s">
        <v>27</v>
      </c>
      <c r="L29" s="22" t="e">
        <f>(K25*L26)/(L25*K26)</f>
        <v>#DIV/0!</v>
      </c>
      <c r="O29" s="16" t="s">
        <v>27</v>
      </c>
      <c r="P29" s="22" t="e">
        <f>(O25*P26)/(P25*O26)</f>
        <v>#DIV/0!</v>
      </c>
      <c r="S29" s="16" t="s">
        <v>27</v>
      </c>
      <c r="T29" s="22" t="e">
        <f>(S25*T26)/(T25*S26)</f>
        <v>#DIV/0!</v>
      </c>
      <c r="W29" s="16" t="s">
        <v>27</v>
      </c>
      <c r="X29" s="22" t="e">
        <f>(W25*X26)/(X25*W26)</f>
        <v>#DIV/0!</v>
      </c>
    </row>
    <row r="30" spans="3:24" ht="15">
      <c r="C30" s="16" t="s">
        <v>28</v>
      </c>
      <c r="D30" s="24">
        <f>(POWER((C25-C43),2)/C43+POWER((D25-D43),2)/D43+POWER((C26-C44),2)/C44+POWER((D26-D44),2)/D44)</f>
        <v>0.008002506450744145</v>
      </c>
      <c r="G30" s="16" t="s">
        <v>28</v>
      </c>
      <c r="H30" s="24">
        <f>POWER(G25-G43,2)/G43+POWER(H25-H43,2)/H43+POWER(G26-G44,2)/G44+POWER(H26-H44,2)/H44</f>
        <v>4.0410361728731665</v>
      </c>
      <c r="K30" s="16" t="s">
        <v>28</v>
      </c>
      <c r="L30" s="24" t="e">
        <f>POWER(K25-K43,2)/K43+POWER(L25-L43,2)/L43+POWER(K26-K44,2)/K44+POWER(L26-L44,2)/L44</f>
        <v>#DIV/0!</v>
      </c>
      <c r="O30" s="16" t="s">
        <v>28</v>
      </c>
      <c r="P30" s="24" t="e">
        <f>POWER(O25-O43,2)/O43+POWER(P25-P43,2)/P43+POWER(O26-O44,2)/O44+POWER(P26-P44,2)/P44</f>
        <v>#DIV/0!</v>
      </c>
      <c r="S30" s="16" t="s">
        <v>28</v>
      </c>
      <c r="T30" s="24" t="e">
        <f>POWER(S25-S43,2)/S43+POWER(T25-T43,2)/T43+POWER(S26-S44,2)/S44+POWER(T26-T44,2)/T44</f>
        <v>#DIV/0!</v>
      </c>
      <c r="W30" s="16" t="s">
        <v>28</v>
      </c>
      <c r="X30" s="24" t="e">
        <f>POWER(W25-W43,2)/W43+POWER(X25-X43,2)/X43+POWER(W26-W44,2)/W44+POWER(X26-X44,2)/X44</f>
        <v>#DIV/0!</v>
      </c>
    </row>
    <row r="31" spans="3:24" ht="15">
      <c r="C31" s="16" t="s">
        <v>0</v>
      </c>
      <c r="D31" s="107">
        <f>CHITEST((C25:D26),(C43:D44))</f>
        <v>0.9287189405246312</v>
      </c>
      <c r="G31" s="16" t="s">
        <v>0</v>
      </c>
      <c r="H31" s="107">
        <f>CHITEST((G25:H26),(G43:H44))</f>
        <v>0.0444065485187191</v>
      </c>
      <c r="K31" s="16" t="s">
        <v>0</v>
      </c>
      <c r="L31" s="107" t="e">
        <f>CHITEST((K25:L26),(K43:L44))</f>
        <v>#DIV/0!</v>
      </c>
      <c r="O31" s="16" t="s">
        <v>0</v>
      </c>
      <c r="P31" s="107" t="e">
        <f>CHITEST((O25:P26),(O43:P44))</f>
        <v>#DIV/0!</v>
      </c>
      <c r="S31" s="16" t="s">
        <v>0</v>
      </c>
      <c r="T31" s="107" t="e">
        <f>CHITEST((S25:T26),(S43:T44))</f>
        <v>#DIV/0!</v>
      </c>
      <c r="W31" s="16" t="s">
        <v>0</v>
      </c>
      <c r="X31" s="107" t="e">
        <f>CHITEST((W25:X26),(W43:X44))</f>
        <v>#DIV/0!</v>
      </c>
    </row>
    <row r="32" spans="3:24" ht="12">
      <c r="C32" s="247" t="s">
        <v>289</v>
      </c>
      <c r="D32" s="22">
        <v>0.95</v>
      </c>
      <c r="G32" s="247" t="s">
        <v>289</v>
      </c>
      <c r="H32" s="22">
        <v>0.95</v>
      </c>
      <c r="K32" s="247" t="s">
        <v>289</v>
      </c>
      <c r="L32" s="22">
        <v>0.95</v>
      </c>
      <c r="O32" s="247" t="s">
        <v>289</v>
      </c>
      <c r="P32" s="22">
        <v>0.95</v>
      </c>
      <c r="S32" s="247" t="s">
        <v>289</v>
      </c>
      <c r="T32" s="22">
        <v>0.95</v>
      </c>
      <c r="W32" s="247" t="s">
        <v>289</v>
      </c>
      <c r="X32" s="22">
        <v>0.95</v>
      </c>
    </row>
    <row r="33" spans="3:24" ht="15">
      <c r="C33" s="16" t="s">
        <v>149</v>
      </c>
      <c r="D33" s="68">
        <f>D29*EXP(-NORMSINV((1-D32)/2)*D35)</f>
        <v>2.7865846659438973</v>
      </c>
      <c r="G33" s="16" t="s">
        <v>149</v>
      </c>
      <c r="H33" s="68">
        <f>H29*EXP(-NORMSINV((1-H32)/2)*H35)</f>
        <v>3.479348048070029</v>
      </c>
      <c r="K33" s="16" t="s">
        <v>149</v>
      </c>
      <c r="L33" s="68" t="e">
        <f>L29*EXP(-NORMSINV((1-L32)/2)*L35)</f>
        <v>#DIV/0!</v>
      </c>
      <c r="O33" s="16" t="s">
        <v>149</v>
      </c>
      <c r="P33" s="68" t="e">
        <f>P29*EXP(-NORMSINV((1-P32)/2)*P35)</f>
        <v>#DIV/0!</v>
      </c>
      <c r="S33" s="16" t="s">
        <v>149</v>
      </c>
      <c r="T33" s="68" t="e">
        <f>T29*EXP(-NORMSINV((1-T32)/2)*T35)</f>
        <v>#DIV/0!</v>
      </c>
      <c r="W33" s="16" t="s">
        <v>149</v>
      </c>
      <c r="X33" s="68" t="e">
        <f>X29*EXP(-NORMSINV((1-X32)/2)*X35)</f>
        <v>#DIV/0!</v>
      </c>
    </row>
    <row r="34" spans="3:24" ht="15">
      <c r="C34" s="16" t="s">
        <v>150</v>
      </c>
      <c r="D34" s="68">
        <f>D29*EXP(NORMSINV((1-D32)/2)*D35)</f>
        <v>0.3253571196888166</v>
      </c>
      <c r="G34" s="16" t="s">
        <v>150</v>
      </c>
      <c r="H34" s="68">
        <f>H29*EXP(NORMSINV((1-H32)/2)*H35)</f>
        <v>1.006340145168664</v>
      </c>
      <c r="K34" s="16" t="s">
        <v>150</v>
      </c>
      <c r="L34" s="68" t="e">
        <f>L29*EXP(NORMSINV((1-L32)/2)*L35)</f>
        <v>#DIV/0!</v>
      </c>
      <c r="O34" s="16" t="s">
        <v>150</v>
      </c>
      <c r="P34" s="68" t="e">
        <f>P29*EXP(NORMSINV((1-P32)/2)*P35)</f>
        <v>#DIV/0!</v>
      </c>
      <c r="S34" s="16" t="s">
        <v>150</v>
      </c>
      <c r="T34" s="68" t="e">
        <f>T29*EXP(NORMSINV((1-T32)/2)*T35)</f>
        <v>#DIV/0!</v>
      </c>
      <c r="W34" s="16" t="s">
        <v>150</v>
      </c>
      <c r="X34" s="68" t="e">
        <f>X29*EXP(NORMSINV((1-X32)/2)*X35)</f>
        <v>#DIV/0!</v>
      </c>
    </row>
    <row r="35" spans="3:24" ht="12">
      <c r="C35" s="106" t="s">
        <v>151</v>
      </c>
      <c r="D35">
        <f>SQRT(1/C25+1/D25+1/C26+1/D26)</f>
        <v>0.5478796036436081</v>
      </c>
      <c r="G35" s="106" t="s">
        <v>151</v>
      </c>
      <c r="H35">
        <f>SQRT(1/G25+1/H25+1/G26+1/H26)</f>
        <v>0.3164662240003317</v>
      </c>
      <c r="K35" s="106" t="s">
        <v>151</v>
      </c>
      <c r="L35" t="e">
        <f>SQRT(1/K25+1/L25+1/K26+1/L26)</f>
        <v>#DIV/0!</v>
      </c>
      <c r="O35" s="106" t="s">
        <v>151</v>
      </c>
      <c r="P35" t="e">
        <f>SQRT(1/O25+1/P25+1/O26+1/P26)</f>
        <v>#DIV/0!</v>
      </c>
      <c r="S35" s="106" t="s">
        <v>151</v>
      </c>
      <c r="T35" t="e">
        <f>SQRT(1/S25+1/T25+1/S26+1/T26)</f>
        <v>#DIV/0!</v>
      </c>
      <c r="W35" s="106" t="s">
        <v>151</v>
      </c>
      <c r="X35" t="e">
        <f>SQRT(1/W25+1/X25+1/W26+1/X26)</f>
        <v>#DIV/0!</v>
      </c>
    </row>
    <row r="36" spans="3:23" ht="12">
      <c r="C36" s="106"/>
      <c r="G36" s="106"/>
      <c r="K36" s="106"/>
      <c r="O36" s="106"/>
      <c r="S36" s="106"/>
      <c r="W36" s="106"/>
    </row>
    <row r="37" spans="3:24" ht="12">
      <c r="C37" s="256" t="s">
        <v>296</v>
      </c>
      <c r="D37">
        <f>IF(E27&gt;0,(C25*D26)/E27,0)</f>
        <v>3.2364532019704435</v>
      </c>
      <c r="G37" s="256" t="s">
        <v>296</v>
      </c>
      <c r="H37">
        <f>IF(I27&gt;0,(G25*H26)/I27,0)</f>
        <v>12.95353982300885</v>
      </c>
      <c r="K37" s="256" t="s">
        <v>296</v>
      </c>
      <c r="L37">
        <f>IF(M27&gt;0,(K25*L26)/M27,0)</f>
        <v>0</v>
      </c>
      <c r="O37" s="256" t="s">
        <v>296</v>
      </c>
      <c r="P37">
        <f>IF(Q27&gt;0,(O25*P26)/Q27,0)</f>
        <v>0</v>
      </c>
      <c r="S37" s="256" t="s">
        <v>296</v>
      </c>
      <c r="T37">
        <f>IF(U27&gt;0,(S25*T26)/U27,0)</f>
        <v>0</v>
      </c>
      <c r="W37" s="256" t="s">
        <v>296</v>
      </c>
      <c r="X37">
        <f>IF(Y27&gt;0,(W25*X26)/Y27,0)</f>
        <v>0</v>
      </c>
    </row>
    <row r="38" spans="3:24" ht="12">
      <c r="C38" s="106" t="s">
        <v>297</v>
      </c>
      <c r="D38">
        <f>IF(E27&gt;0,(D25*C26)/E27,0)</f>
        <v>3.399014778325123</v>
      </c>
      <c r="G38" s="106" t="s">
        <v>297</v>
      </c>
      <c r="H38">
        <f>IF(I27&gt;0,(H25*G26)/I27,0)</f>
        <v>6.922566371681416</v>
      </c>
      <c r="K38" s="106" t="s">
        <v>297</v>
      </c>
      <c r="L38">
        <f>IF(M27&gt;0,(L25*K26)/M27,0)</f>
        <v>0</v>
      </c>
      <c r="O38" s="106" t="s">
        <v>297</v>
      </c>
      <c r="P38">
        <f>IF(Q27&gt;0,(P25*O26)/Q27,0)</f>
        <v>0</v>
      </c>
      <c r="S38" s="106" t="s">
        <v>297</v>
      </c>
      <c r="T38">
        <f>IF(U27&gt;0,(T25*S26)/U27,0)</f>
        <v>0</v>
      </c>
      <c r="W38" s="106" t="s">
        <v>297</v>
      </c>
      <c r="X38">
        <f>IF(Y27&gt;0,(X25*W26)/Y27,0)</f>
        <v>0</v>
      </c>
    </row>
    <row r="39" spans="3:23" ht="12">
      <c r="C39" s="106"/>
      <c r="G39" s="106"/>
      <c r="K39" s="106"/>
      <c r="O39" s="106"/>
      <c r="S39" s="106"/>
      <c r="W39" s="106"/>
    </row>
    <row r="40" spans="3:23" ht="12">
      <c r="C40" s="106"/>
      <c r="G40" s="106"/>
      <c r="K40" s="106"/>
      <c r="O40" s="106"/>
      <c r="S40" s="106"/>
      <c r="W40" s="106"/>
    </row>
    <row r="41" spans="2:25" ht="15">
      <c r="B41" s="251"/>
      <c r="C41" s="252" t="s">
        <v>4</v>
      </c>
      <c r="D41" s="251"/>
      <c r="E41" s="251"/>
      <c r="F41" s="251"/>
      <c r="G41" s="252" t="s">
        <v>4</v>
      </c>
      <c r="H41" s="251"/>
      <c r="I41" s="251"/>
      <c r="J41" s="251"/>
      <c r="K41" s="252" t="s">
        <v>4</v>
      </c>
      <c r="L41" s="251"/>
      <c r="M41" s="251"/>
      <c r="N41" s="251"/>
      <c r="O41" s="252" t="s">
        <v>4</v>
      </c>
      <c r="P41" s="251"/>
      <c r="Q41" s="251"/>
      <c r="R41" s="251"/>
      <c r="S41" s="252" t="s">
        <v>4</v>
      </c>
      <c r="T41" s="251"/>
      <c r="U41" s="251"/>
      <c r="V41" s="251"/>
      <c r="W41" s="252" t="s">
        <v>4</v>
      </c>
      <c r="X41" s="251"/>
      <c r="Y41" s="251"/>
    </row>
    <row r="42" spans="2:25" ht="12">
      <c r="B42" s="251"/>
      <c r="C42" s="253" t="s">
        <v>25</v>
      </c>
      <c r="D42" s="253" t="s">
        <v>26</v>
      </c>
      <c r="E42" s="251"/>
      <c r="F42" s="251"/>
      <c r="G42" s="253" t="s">
        <v>25</v>
      </c>
      <c r="H42" s="253" t="s">
        <v>26</v>
      </c>
      <c r="I42" s="251"/>
      <c r="J42" s="251"/>
      <c r="K42" s="253" t="s">
        <v>25</v>
      </c>
      <c r="L42" s="253" t="s">
        <v>26</v>
      </c>
      <c r="M42" s="251"/>
      <c r="N42" s="251"/>
      <c r="O42" s="253" t="s">
        <v>25</v>
      </c>
      <c r="P42" s="253" t="s">
        <v>26</v>
      </c>
      <c r="Q42" s="251"/>
      <c r="R42" s="251"/>
      <c r="S42" s="253" t="s">
        <v>25</v>
      </c>
      <c r="T42" s="253" t="s">
        <v>26</v>
      </c>
      <c r="U42" s="251"/>
      <c r="V42" s="251"/>
      <c r="W42" s="253" t="s">
        <v>25</v>
      </c>
      <c r="X42" s="253" t="s">
        <v>26</v>
      </c>
      <c r="Y42" s="251"/>
    </row>
    <row r="43" spans="2:25" ht="12">
      <c r="B43" s="253" t="s">
        <v>1</v>
      </c>
      <c r="C43" s="254">
        <f>(C27/E27)*E25</f>
        <v>9.16256157635468</v>
      </c>
      <c r="D43" s="254">
        <f>(D27/E27)*E25</f>
        <v>5.83743842364532</v>
      </c>
      <c r="E43" s="255">
        <f>C43+D43</f>
        <v>15</v>
      </c>
      <c r="F43" s="251"/>
      <c r="G43" s="254">
        <f>(G27/I27)*I25</f>
        <v>13.969026548672565</v>
      </c>
      <c r="H43" s="254">
        <f>(H27/I27)*I25</f>
        <v>27.030973451327434</v>
      </c>
      <c r="I43" s="255">
        <f>G43+H43</f>
        <v>41</v>
      </c>
      <c r="J43" s="251"/>
      <c r="K43" s="254" t="e">
        <f>(K27/M27)*M25</f>
        <v>#DIV/0!</v>
      </c>
      <c r="L43" s="254" t="e">
        <f>(L27/M27)*M25</f>
        <v>#DIV/0!</v>
      </c>
      <c r="M43" s="255" t="e">
        <f>K43+L43</f>
        <v>#DIV/0!</v>
      </c>
      <c r="N43" s="251"/>
      <c r="O43" s="254" t="e">
        <f>(O27/Q27)*Q25</f>
        <v>#DIV/0!</v>
      </c>
      <c r="P43" s="254" t="e">
        <f>(P27/Q27)*Q25</f>
        <v>#DIV/0!</v>
      </c>
      <c r="Q43" s="255" t="e">
        <f>O43+P43</f>
        <v>#DIV/0!</v>
      </c>
      <c r="R43" s="251"/>
      <c r="S43" s="254" t="e">
        <f>(S27/U27)*U25</f>
        <v>#DIV/0!</v>
      </c>
      <c r="T43" s="254" t="e">
        <f>(T27/U27)*U25</f>
        <v>#DIV/0!</v>
      </c>
      <c r="U43" s="255" t="e">
        <f>S43+T43</f>
        <v>#DIV/0!</v>
      </c>
      <c r="V43" s="251"/>
      <c r="W43" s="254" t="e">
        <f>(W27/Y27)*Y25</f>
        <v>#DIV/0!</v>
      </c>
      <c r="X43" s="254" t="e">
        <f>(X27/Y27)*Y25</f>
        <v>#DIV/0!</v>
      </c>
      <c r="Y43" s="255" t="e">
        <f>W43+X43</f>
        <v>#DIV/0!</v>
      </c>
    </row>
    <row r="44" spans="2:25" ht="12">
      <c r="B44" s="253" t="s">
        <v>6</v>
      </c>
      <c r="C44" s="254">
        <f>(C27/E27)*E26</f>
        <v>114.83743842364532</v>
      </c>
      <c r="D44" s="254">
        <f>(D27/E27)*E26</f>
        <v>73.16256157635469</v>
      </c>
      <c r="E44" s="255">
        <f>C44+D44</f>
        <v>188</v>
      </c>
      <c r="F44" s="251"/>
      <c r="G44" s="254">
        <f>(G27/I27)*I26</f>
        <v>602.0309734513274</v>
      </c>
      <c r="H44" s="254">
        <f>(H27/I27)*I26</f>
        <v>1164.9690265486727</v>
      </c>
      <c r="I44" s="255">
        <f>G44+H44</f>
        <v>1767</v>
      </c>
      <c r="J44" s="251"/>
      <c r="K44" s="254" t="e">
        <f>(K27/M27)*M26</f>
        <v>#DIV/0!</v>
      </c>
      <c r="L44" s="254" t="e">
        <f>(L27/M27)*M26</f>
        <v>#DIV/0!</v>
      </c>
      <c r="M44" s="255" t="e">
        <f>K44+L44</f>
        <v>#DIV/0!</v>
      </c>
      <c r="N44" s="251"/>
      <c r="O44" s="254" t="e">
        <f>(O27/Q27)*Q26</f>
        <v>#DIV/0!</v>
      </c>
      <c r="P44" s="254" t="e">
        <f>(P27/Q27)*Q26</f>
        <v>#DIV/0!</v>
      </c>
      <c r="Q44" s="255" t="e">
        <f>O44+P44</f>
        <v>#DIV/0!</v>
      </c>
      <c r="R44" s="251"/>
      <c r="S44" s="254" t="e">
        <f>(S27/U27)*U26</f>
        <v>#DIV/0!</v>
      </c>
      <c r="T44" s="254" t="e">
        <f>(T27/U27)*U26</f>
        <v>#DIV/0!</v>
      </c>
      <c r="U44" s="255" t="e">
        <f>S44+T44</f>
        <v>#DIV/0!</v>
      </c>
      <c r="V44" s="251"/>
      <c r="W44" s="254" t="e">
        <f>(W27/Y27)*Y26</f>
        <v>#DIV/0!</v>
      </c>
      <c r="X44" s="254" t="e">
        <f>(X27/Y27)*Y26</f>
        <v>#DIV/0!</v>
      </c>
      <c r="Y44" s="255" t="e">
        <f>W44+X44</f>
        <v>#DIV/0!</v>
      </c>
    </row>
    <row r="45" spans="2:25" ht="12">
      <c r="B45" s="251"/>
      <c r="C45" s="251">
        <f>C43+C44</f>
        <v>124</v>
      </c>
      <c r="D45" s="251">
        <f>D43+D44</f>
        <v>79.00000000000001</v>
      </c>
      <c r="E45" s="251">
        <f>E43+E44</f>
        <v>203</v>
      </c>
      <c r="F45" s="251"/>
      <c r="G45" s="251">
        <f>G43+G44</f>
        <v>616</v>
      </c>
      <c r="H45" s="251">
        <f>H43+H44</f>
        <v>1192</v>
      </c>
      <c r="I45" s="251">
        <f>I43+I44</f>
        <v>1808</v>
      </c>
      <c r="J45" s="251"/>
      <c r="K45" s="251" t="e">
        <f>K43+K44</f>
        <v>#DIV/0!</v>
      </c>
      <c r="L45" s="251" t="e">
        <f>L43+L44</f>
        <v>#DIV/0!</v>
      </c>
      <c r="M45" s="251" t="e">
        <f>M43+M44</f>
        <v>#DIV/0!</v>
      </c>
      <c r="N45" s="251"/>
      <c r="O45" s="251" t="e">
        <f>O43+O44</f>
        <v>#DIV/0!</v>
      </c>
      <c r="P45" s="251" t="e">
        <f>P43+P44</f>
        <v>#DIV/0!</v>
      </c>
      <c r="Q45" s="251" t="e">
        <f>Q43+Q44</f>
        <v>#DIV/0!</v>
      </c>
      <c r="R45" s="251"/>
      <c r="S45" s="251" t="e">
        <f>S43+S44</f>
        <v>#DIV/0!</v>
      </c>
      <c r="T45" s="251" t="e">
        <f>T43+T44</f>
        <v>#DIV/0!</v>
      </c>
      <c r="U45" s="251" t="e">
        <f>U43+U44</f>
        <v>#DIV/0!</v>
      </c>
      <c r="V45" s="251"/>
      <c r="W45" s="251" t="e">
        <f>W43+W44</f>
        <v>#DIV/0!</v>
      </c>
      <c r="X45" s="251" t="e">
        <f>X43+X44</f>
        <v>#DIV/0!</v>
      </c>
      <c r="Y45" s="251" t="e">
        <f>Y43+Y44</f>
        <v>#DIV/0!</v>
      </c>
    </row>
    <row r="47" spans="2:23" ht="12">
      <c r="B47" s="1" t="s">
        <v>299</v>
      </c>
      <c r="C47">
        <f>(C25*D26-D25*C26)/E27</f>
        <v>-0.1625615763546798</v>
      </c>
      <c r="F47" s="1" t="s">
        <v>299</v>
      </c>
      <c r="G47">
        <f>(G25*H26-H25*G26)/I27</f>
        <v>6.030973451327434</v>
      </c>
      <c r="J47" s="1" t="s">
        <v>299</v>
      </c>
      <c r="K47" t="e">
        <f>(K25*L26-L25*K26)/M27</f>
        <v>#DIV/0!</v>
      </c>
      <c r="N47" s="1" t="s">
        <v>299</v>
      </c>
      <c r="O47" t="e">
        <f>(O25*P26-P25*O26)/Q27</f>
        <v>#DIV/0!</v>
      </c>
      <c r="R47" s="1" t="s">
        <v>299</v>
      </c>
      <c r="S47" t="e">
        <f>(S25*T26-T25*S26)/U27</f>
        <v>#DIV/0!</v>
      </c>
      <c r="V47" s="1" t="s">
        <v>299</v>
      </c>
      <c r="W47" t="e">
        <f>(W25*X26-X25*W26)/Y27</f>
        <v>#DIV/0!</v>
      </c>
    </row>
    <row r="48" spans="2:23" ht="12">
      <c r="B48" s="1" t="s">
        <v>300</v>
      </c>
      <c r="C48">
        <f>(C27*D27*E25*E26)/(E27*E27*(E27-1))</f>
        <v>3.318596413500944</v>
      </c>
      <c r="F48" s="1" t="s">
        <v>300</v>
      </c>
      <c r="G48">
        <f>(G27*H27*I25*I26)/(I27*I27*(I27-1))</f>
        <v>9.005801472185746</v>
      </c>
      <c r="J48" s="1" t="s">
        <v>300</v>
      </c>
      <c r="K48" t="e">
        <f>(K27*L27*M25*M26)/(M27*M27*(M27-1))</f>
        <v>#DIV/0!</v>
      </c>
      <c r="N48" s="1" t="s">
        <v>300</v>
      </c>
      <c r="O48" t="e">
        <f>(O27*P27*Q25*Q26)/(Q27*Q27*(Q27-1))</f>
        <v>#DIV/0!</v>
      </c>
      <c r="R48" s="1" t="s">
        <v>300</v>
      </c>
      <c r="S48" t="e">
        <f>(S27*T27*U25*U26)/(U27*U27*(U27-1))</f>
        <v>#DIV/0!</v>
      </c>
      <c r="V48" s="1" t="s">
        <v>300</v>
      </c>
      <c r="W48" t="e">
        <f>(W27*X27*Y25*Y26)/(Y27*Y27*(Y27-1))</f>
        <v>#DIV/0!</v>
      </c>
    </row>
    <row r="51" spans="2:3" ht="12">
      <c r="B51" s="1" t="s">
        <v>302</v>
      </c>
      <c r="C51">
        <f>(POWER(SUM(IF(E27&gt;0,C47,0)+IF(I27&gt;0,G47,0)+IF(M27&gt;0,K47,0)+IF(Q27&gt;0,47,0)+IF(U27&gt;0,S47,0)+IF(Y27&gt;0,W47,0)),2))</f>
        <v>34.438257934321236</v>
      </c>
    </row>
    <row r="52" spans="2:3" ht="12">
      <c r="B52" s="1" t="s">
        <v>303</v>
      </c>
      <c r="C52">
        <f>(SUM(IF(E27&gt;0,C48,0)+IF(I27&gt;0,G48,0)+IF(M27&gt;0,K48,0)+IF(Q27&gt;0,47,0)+IF(U27&gt;0,S48,0)+IF(Y27&gt;0,W48,0)))</f>
        <v>12.32439788568669</v>
      </c>
    </row>
    <row r="53" spans="2:3" ht="12">
      <c r="B53" s="1" t="s">
        <v>304</v>
      </c>
      <c r="C53">
        <f>C51/C52</f>
        <v>2.7943156536934874</v>
      </c>
    </row>
    <row r="54" spans="2:3" ht="12">
      <c r="B54" s="1" t="s">
        <v>305</v>
      </c>
      <c r="C54">
        <f>CHIDIST(C53,1)</f>
        <v>0.0945991468237583</v>
      </c>
    </row>
  </sheetData>
  <sheetProtection password="C774" sheet="1" objects="1" scenarios="1"/>
  <mergeCells count="3">
    <mergeCell ref="A1:D1"/>
    <mergeCell ref="A10:J10"/>
    <mergeCell ref="L1:N1"/>
  </mergeCells>
  <hyperlinks>
    <hyperlink ref="G1" location="'Main Menu'!A1" display="Main Menu"/>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Y79"/>
  <sheetViews>
    <sheetView workbookViewId="0" topLeftCell="A2">
      <selection activeCell="C5" sqref="C5"/>
    </sheetView>
  </sheetViews>
  <sheetFormatPr defaultColWidth="8.8515625" defaultRowHeight="12.75"/>
  <cols>
    <col min="1" max="1" width="10.28125" style="0" customWidth="1"/>
    <col min="2" max="2" width="12.421875" style="0" customWidth="1"/>
    <col min="3" max="3" width="12.140625" style="0" customWidth="1"/>
    <col min="4" max="4" width="8.8515625" style="0" customWidth="1"/>
    <col min="5" max="5" width="7.28125" style="0" customWidth="1"/>
    <col min="6" max="6" width="8.8515625" style="0" customWidth="1"/>
    <col min="7" max="7" width="11.421875" style="0" customWidth="1"/>
    <col min="8" max="8" width="12.421875" style="0" bestFit="1" customWidth="1"/>
    <col min="9" max="9" width="9.421875" style="0" customWidth="1"/>
    <col min="10" max="10" width="8.8515625" style="0" customWidth="1"/>
    <col min="11" max="11" width="7.8515625" style="0" customWidth="1"/>
    <col min="12" max="12" width="8.8515625" style="0" customWidth="1"/>
    <col min="13" max="13" width="7.28125" style="0" customWidth="1"/>
    <col min="14" max="14" width="11.28125" style="0" customWidth="1"/>
  </cols>
  <sheetData>
    <row r="1" spans="1:14" ht="35.25" customHeight="1">
      <c r="A1" s="307" t="s">
        <v>49</v>
      </c>
      <c r="B1" s="284"/>
      <c r="C1" s="284"/>
      <c r="D1" s="284"/>
      <c r="E1" s="308"/>
      <c r="F1" s="309"/>
      <c r="I1" s="164" t="s">
        <v>193</v>
      </c>
      <c r="K1" s="96"/>
      <c r="L1" s="287" t="s">
        <v>286</v>
      </c>
      <c r="M1" s="287"/>
      <c r="N1" s="287"/>
    </row>
    <row r="2" spans="1:11" ht="15">
      <c r="A2" s="17" t="s">
        <v>20</v>
      </c>
      <c r="K2" s="96"/>
    </row>
    <row r="3" spans="2:11" ht="15">
      <c r="B3" s="18" t="s">
        <v>5</v>
      </c>
      <c r="H3" s="3" t="s">
        <v>4</v>
      </c>
      <c r="K3" s="96"/>
    </row>
    <row r="4" spans="2:11" ht="12">
      <c r="B4" t="s">
        <v>52</v>
      </c>
      <c r="C4" t="s">
        <v>53</v>
      </c>
      <c r="H4" t="s">
        <v>52</v>
      </c>
      <c r="I4" t="s">
        <v>53</v>
      </c>
      <c r="K4" s="96"/>
    </row>
    <row r="5" spans="1:11" ht="12">
      <c r="A5" t="s">
        <v>1</v>
      </c>
      <c r="B5" s="15">
        <v>156</v>
      </c>
      <c r="C5" s="15">
        <f>812-156</f>
        <v>656</v>
      </c>
      <c r="D5">
        <f>B5+C5</f>
        <v>812</v>
      </c>
      <c r="G5" t="s">
        <v>1</v>
      </c>
      <c r="H5" s="25">
        <f>(B7/D7)*D5</f>
        <v>104.24141380460154</v>
      </c>
      <c r="I5" s="25">
        <f>D5-H5</f>
        <v>707.7585861953985</v>
      </c>
      <c r="J5">
        <f>H5+I5</f>
        <v>812</v>
      </c>
      <c r="K5" s="96"/>
    </row>
    <row r="6" spans="1:11" ht="12">
      <c r="A6" t="s">
        <v>6</v>
      </c>
      <c r="B6" s="15">
        <v>229</v>
      </c>
      <c r="C6" s="15">
        <f>2187-229</f>
        <v>1958</v>
      </c>
      <c r="D6">
        <f>B6+C6</f>
        <v>2187</v>
      </c>
      <c r="G6" t="s">
        <v>6</v>
      </c>
      <c r="H6" s="25">
        <f>(B7/D7)*D6</f>
        <v>280.7585861953985</v>
      </c>
      <c r="I6" s="25">
        <f>D6-H6</f>
        <v>1906.2414138046015</v>
      </c>
      <c r="J6">
        <f>H6+I6</f>
        <v>2187</v>
      </c>
      <c r="K6" s="96"/>
    </row>
    <row r="7" spans="2:11" ht="12">
      <c r="B7">
        <f>B5+B6</f>
        <v>385</v>
      </c>
      <c r="C7">
        <f>C5+C6</f>
        <v>2614</v>
      </c>
      <c r="D7">
        <f>D5+D6</f>
        <v>2999</v>
      </c>
      <c r="H7">
        <f>H5+H6</f>
        <v>385</v>
      </c>
      <c r="I7">
        <f>I5+I6</f>
        <v>2614</v>
      </c>
      <c r="J7">
        <f>J5+J6</f>
        <v>2999</v>
      </c>
      <c r="K7" s="96"/>
    </row>
    <row r="8" spans="1:11" ht="12">
      <c r="A8" s="96"/>
      <c r="B8" s="96"/>
      <c r="C8" s="96"/>
      <c r="D8" s="96"/>
      <c r="E8" s="96" t="s">
        <v>146</v>
      </c>
      <c r="F8" s="96"/>
      <c r="G8" s="108">
        <v>0.95</v>
      </c>
      <c r="H8" s="96"/>
      <c r="I8" s="96"/>
      <c r="J8" s="96"/>
      <c r="K8" s="96"/>
    </row>
    <row r="9" spans="1:11" ht="15">
      <c r="A9" s="36" t="s">
        <v>46</v>
      </c>
      <c r="B9" s="37" t="s">
        <v>47</v>
      </c>
      <c r="C9" s="38">
        <f>B5/D5</f>
        <v>0.1921182266009852</v>
      </c>
      <c r="F9" s="48" t="s">
        <v>145</v>
      </c>
      <c r="H9" s="16"/>
      <c r="K9" s="23" t="s">
        <v>153</v>
      </c>
    </row>
    <row r="10" spans="1:11" ht="15">
      <c r="A10" s="36" t="s">
        <v>46</v>
      </c>
      <c r="B10" s="36" t="s">
        <v>48</v>
      </c>
      <c r="C10" s="38">
        <f>B6/D6</f>
        <v>0.10470964791952446</v>
      </c>
      <c r="G10" s="16" t="s">
        <v>149</v>
      </c>
      <c r="H10" s="43">
        <f>($C$11)*EXP(-NORMSINV((1-G8)/2)*G13)</f>
        <v>2.2117145723862985</v>
      </c>
      <c r="K10" s="22">
        <f>($C$11)^(1+1.96/SQRT($C$14))</f>
        <v>2.2122254319646144</v>
      </c>
    </row>
    <row r="11" spans="2:11" ht="15">
      <c r="B11" s="16" t="s">
        <v>50</v>
      </c>
      <c r="C11" s="22">
        <f>$C$9/$C$10</f>
        <v>1.8347710112504572</v>
      </c>
      <c r="G11" s="16" t="s">
        <v>150</v>
      </c>
      <c r="H11" s="43">
        <f>($C$11)*EXP(NORMSINV((1-G8)/2)*G13)</f>
        <v>1.5220701196054025</v>
      </c>
      <c r="I11" s="22"/>
      <c r="K11" s="22">
        <f>($C$11)^(1-1.96/SQRT($C$14))</f>
        <v>1.5217186345857323</v>
      </c>
    </row>
    <row r="12" spans="2:11" ht="15">
      <c r="B12" s="263" t="s">
        <v>326</v>
      </c>
      <c r="C12" s="265">
        <f>C9-C10</f>
        <v>0.08740857868146075</v>
      </c>
      <c r="E12" s="314">
        <f>IF(H5&lt;5,"Chi square is inappropriate; an expected cell is &lt;5.",IF(I5&lt;5,"Chi square inappropriate; an expected cell is &lt;5.",IF(H6&lt;5,"Chi square inappropriate; an expected cell is &lt;5.",IF(I6&lt;5,"Chi square inappropriate; an expected cell is &lt;5.",""))))</f>
      </c>
      <c r="F12" s="315"/>
      <c r="G12" s="315"/>
      <c r="H12" s="315"/>
      <c r="I12" s="315"/>
      <c r="J12" s="316"/>
      <c r="K12" s="96"/>
    </row>
    <row r="13" spans="2:11" ht="15">
      <c r="B13" s="263" t="s">
        <v>327</v>
      </c>
      <c r="C13" s="66">
        <f>C12/C9*100</f>
        <v>45.49728582650393</v>
      </c>
      <c r="F13" s="106" t="s">
        <v>144</v>
      </c>
      <c r="G13">
        <f>SQRT((1-C9)/(D5*C9)+(1-C10)/(D6*C10))</f>
        <v>0.09533254519264117</v>
      </c>
      <c r="I13" t="s">
        <v>148</v>
      </c>
      <c r="K13" s="96"/>
    </row>
    <row r="14" spans="2:11" ht="15">
      <c r="B14" s="16" t="s">
        <v>28</v>
      </c>
      <c r="C14" s="24">
        <f>POWER($B$5-$H$5,2)/$H$5+POWER($C$5-$I$5,2)/$I$5+POWER($B$6-$H$6,2)/$H$6+POWER($C$6-$I$6,2)/$I$6</f>
        <v>40.43180053710386</v>
      </c>
      <c r="F14" s="106"/>
      <c r="K14" s="96"/>
    </row>
    <row r="15" spans="2:11" ht="15">
      <c r="B15" s="16" t="s">
        <v>0</v>
      </c>
      <c r="C15" s="264">
        <f>CHITEST((B5:C6),(H5:I6))</f>
        <v>2.0360013597652402E-10</v>
      </c>
      <c r="F15" s="48" t="s">
        <v>328</v>
      </c>
      <c r="K15" s="96"/>
    </row>
    <row r="16" spans="2:11" ht="15">
      <c r="B16" s="16"/>
      <c r="C16" s="107"/>
      <c r="F16" s="106"/>
      <c r="G16" s="16" t="s">
        <v>149</v>
      </c>
      <c r="H16" s="181">
        <f>C12+1.96*SQRT((C9*(1-C9))/D5+(C10*(1-C10)/D6))</f>
        <v>0.11739137460262343</v>
      </c>
      <c r="K16" s="96"/>
    </row>
    <row r="17" spans="2:11" ht="15">
      <c r="B17" s="16" t="s">
        <v>329</v>
      </c>
      <c r="C17" s="266">
        <f>1/C12</f>
        <v>11.440524661134877</v>
      </c>
      <c r="F17" s="106"/>
      <c r="G17" s="16" t="s">
        <v>150</v>
      </c>
      <c r="H17" s="181">
        <f>C12-1.96*SQRT((C9*(1-C9))/D5+(C10*(1-C10)/D6))</f>
        <v>0.05742578276029807</v>
      </c>
      <c r="K17" s="96"/>
    </row>
    <row r="18" spans="1:11" ht="12">
      <c r="A18" s="310"/>
      <c r="B18" s="310"/>
      <c r="C18" s="310"/>
      <c r="D18" s="310"/>
      <c r="E18" s="310"/>
      <c r="F18" s="310"/>
      <c r="G18" s="310"/>
      <c r="H18" s="310"/>
      <c r="I18" s="310"/>
      <c r="J18" s="310"/>
      <c r="K18" s="310"/>
    </row>
    <row r="19" spans="1:11" ht="18" customHeight="1">
      <c r="A19" s="307" t="s">
        <v>51</v>
      </c>
      <c r="B19" s="284"/>
      <c r="C19" s="284"/>
      <c r="D19" s="284"/>
      <c r="E19" s="308"/>
      <c r="F19" s="309"/>
      <c r="K19" s="96"/>
    </row>
    <row r="20" spans="1:11" ht="15">
      <c r="A20" s="17" t="s">
        <v>20</v>
      </c>
      <c r="K20" s="96"/>
    </row>
    <row r="21" spans="2:11" ht="15">
      <c r="B21" s="18" t="s">
        <v>5</v>
      </c>
      <c r="H21" s="3" t="s">
        <v>4</v>
      </c>
      <c r="K21" s="96"/>
    </row>
    <row r="22" spans="2:11" ht="12">
      <c r="B22" s="23" t="s">
        <v>52</v>
      </c>
      <c r="C22" t="s">
        <v>53</v>
      </c>
      <c r="D22" s="23" t="s">
        <v>55</v>
      </c>
      <c r="H22" t="s">
        <v>52</v>
      </c>
      <c r="I22" t="s">
        <v>53</v>
      </c>
      <c r="K22" s="96"/>
    </row>
    <row r="23" spans="1:11" ht="12">
      <c r="A23" t="s">
        <v>1</v>
      </c>
      <c r="B23" s="15">
        <v>156</v>
      </c>
      <c r="C23" s="39" t="s">
        <v>54</v>
      </c>
      <c r="D23" s="311">
        <v>17352</v>
      </c>
      <c r="E23" s="312"/>
      <c r="G23" t="s">
        <v>1</v>
      </c>
      <c r="H23" s="25">
        <f>(D23/D25)*$B$25</f>
        <v>103.04268907563025</v>
      </c>
      <c r="I23" s="40" t="s">
        <v>54</v>
      </c>
      <c r="K23" s="96"/>
    </row>
    <row r="24" spans="1:11" ht="12">
      <c r="A24" t="s">
        <v>6</v>
      </c>
      <c r="B24" s="15">
        <v>268</v>
      </c>
      <c r="C24" s="39" t="s">
        <v>54</v>
      </c>
      <c r="D24" s="311">
        <v>54048</v>
      </c>
      <c r="E24" s="312"/>
      <c r="G24" t="s">
        <v>6</v>
      </c>
      <c r="H24" s="25">
        <f>(D24/D25)*$B$25</f>
        <v>320.9573109243697</v>
      </c>
      <c r="I24" s="40" t="s">
        <v>54</v>
      </c>
      <c r="K24" s="96"/>
    </row>
    <row r="25" spans="2:11" ht="12">
      <c r="B25">
        <f>B23+B24</f>
        <v>424</v>
      </c>
      <c r="D25" s="313">
        <f>D23+D24</f>
        <v>71400</v>
      </c>
      <c r="E25" s="313"/>
      <c r="H25">
        <f>H23+H24</f>
        <v>424</v>
      </c>
      <c r="K25" s="96"/>
    </row>
    <row r="26" ht="12">
      <c r="K26" s="96"/>
    </row>
    <row r="27" spans="1:11" ht="15">
      <c r="A27" s="36" t="s">
        <v>46</v>
      </c>
      <c r="B27" s="37" t="s">
        <v>47</v>
      </c>
      <c r="C27" s="38">
        <f>B23/D23</f>
        <v>0.008990318118948824</v>
      </c>
      <c r="E27" s="47" t="s">
        <v>130</v>
      </c>
      <c r="G27" s="22"/>
      <c r="K27" s="96"/>
    </row>
    <row r="28" spans="1:11" ht="15">
      <c r="A28" s="36" t="s">
        <v>46</v>
      </c>
      <c r="B28" s="36" t="s">
        <v>48</v>
      </c>
      <c r="C28" s="38">
        <f>B24/D24</f>
        <v>0.004958555358200119</v>
      </c>
      <c r="F28" s="16" t="s">
        <v>44</v>
      </c>
      <c r="G28" s="22">
        <f>($C$29)^(1+1.96/SQRT($C$31))</f>
        <v>2.202370881295453</v>
      </c>
      <c r="I28" t="s">
        <v>147</v>
      </c>
      <c r="K28" s="96"/>
    </row>
    <row r="29" spans="2:11" ht="15">
      <c r="B29" s="16" t="s">
        <v>50</v>
      </c>
      <c r="C29" s="22">
        <f>$C$27/$C$28</f>
        <v>1.8130922152721864</v>
      </c>
      <c r="F29" s="16" t="s">
        <v>45</v>
      </c>
      <c r="G29" s="22">
        <f>($C$29)^(1-1.96/SQRT($C$31))</f>
        <v>1.492620252564811</v>
      </c>
      <c r="H29" s="16"/>
      <c r="I29" s="22"/>
      <c r="K29" s="96"/>
    </row>
    <row r="30" spans="2:11" ht="15">
      <c r="B30" s="16" t="s">
        <v>326</v>
      </c>
      <c r="C30" s="107">
        <f>C27-C28</f>
        <v>0.004031762760748705</v>
      </c>
      <c r="F30" s="16"/>
      <c r="G30" s="22"/>
      <c r="H30" s="16"/>
      <c r="I30" s="22"/>
      <c r="K30" s="96"/>
    </row>
    <row r="31" spans="2:11" ht="15">
      <c r="B31" s="16" t="s">
        <v>28</v>
      </c>
      <c r="C31" s="24">
        <f>POWER(B23-H23,2)/H23+POWER(B24-H24,2)/H24</f>
        <v>35.954499590402094</v>
      </c>
      <c r="F31" s="48"/>
      <c r="K31" s="96"/>
    </row>
    <row r="32" spans="2:11" ht="15">
      <c r="B32" s="16" t="s">
        <v>0</v>
      </c>
      <c r="C32" s="107">
        <f>CHITEST((B23:B24),(H23:H24))</f>
        <v>2.0197940556191133E-09</v>
      </c>
      <c r="F32" s="106"/>
      <c r="G32" s="16"/>
      <c r="H32" s="181"/>
      <c r="K32" s="96"/>
    </row>
    <row r="33" spans="2:11" ht="15">
      <c r="B33" s="16"/>
      <c r="C33" s="107"/>
      <c r="F33" s="106"/>
      <c r="G33" s="16"/>
      <c r="H33" s="181"/>
      <c r="K33" s="96"/>
    </row>
    <row r="34" spans="1:11" ht="12">
      <c r="A34" s="310"/>
      <c r="B34" s="310"/>
      <c r="C34" s="310"/>
      <c r="D34" s="310"/>
      <c r="E34" s="310"/>
      <c r="F34" s="310"/>
      <c r="G34" s="310"/>
      <c r="H34" s="310"/>
      <c r="I34" s="310"/>
      <c r="J34" s="310"/>
      <c r="K34" s="310"/>
    </row>
    <row r="35" spans="2:3" ht="16.5">
      <c r="B35" s="2"/>
      <c r="C35" s="249" t="s">
        <v>308</v>
      </c>
    </row>
    <row r="36" ht="12">
      <c r="A36" s="1"/>
    </row>
    <row r="37" spans="8:11" ht="12">
      <c r="H37" s="305" t="s">
        <v>311</v>
      </c>
      <c r="I37" s="275"/>
      <c r="J37" s="275"/>
      <c r="K37" s="258">
        <f>(D53+H53+L53+P53+T53+X53)/(D54+H54+L54+P54+T54+X54)</f>
        <v>1.0347767931783984</v>
      </c>
    </row>
    <row r="38" spans="8:12" ht="12">
      <c r="H38" s="305" t="s">
        <v>301</v>
      </c>
      <c r="I38" s="306"/>
      <c r="J38" s="306"/>
      <c r="K38" s="303">
        <f>C68</f>
        <v>0.9372567986559398</v>
      </c>
      <c r="L38" s="304"/>
    </row>
    <row r="39" spans="3:23" ht="15">
      <c r="C39" s="18" t="s">
        <v>290</v>
      </c>
      <c r="G39" s="18" t="s">
        <v>291</v>
      </c>
      <c r="J39" s="248"/>
      <c r="K39" s="18" t="s">
        <v>292</v>
      </c>
      <c r="O39" s="18" t="s">
        <v>293</v>
      </c>
      <c r="S39" s="18" t="s">
        <v>294</v>
      </c>
      <c r="W39" s="18" t="s">
        <v>295</v>
      </c>
    </row>
    <row r="40" spans="3:24" ht="12">
      <c r="C40" s="23" t="s">
        <v>52</v>
      </c>
      <c r="D40" s="23" t="s">
        <v>309</v>
      </c>
      <c r="G40" s="23" t="s">
        <v>52</v>
      </c>
      <c r="H40" s="23" t="s">
        <v>309</v>
      </c>
      <c r="J40" s="248"/>
      <c r="K40" s="23" t="s">
        <v>52</v>
      </c>
      <c r="L40" s="23" t="s">
        <v>309</v>
      </c>
      <c r="O40" s="23" t="s">
        <v>52</v>
      </c>
      <c r="P40" s="23" t="s">
        <v>309</v>
      </c>
      <c r="S40" s="23" t="s">
        <v>52</v>
      </c>
      <c r="T40" s="23" t="s">
        <v>309</v>
      </c>
      <c r="W40" s="23" t="s">
        <v>52</v>
      </c>
      <c r="X40" s="23" t="s">
        <v>309</v>
      </c>
    </row>
    <row r="41" spans="2:25" ht="12">
      <c r="B41" s="23" t="s">
        <v>1</v>
      </c>
      <c r="C41" s="15">
        <v>40</v>
      </c>
      <c r="D41" s="15">
        <v>60</v>
      </c>
      <c r="E41">
        <f>C41+D41</f>
        <v>100</v>
      </c>
      <c r="G41" s="15">
        <v>51</v>
      </c>
      <c r="H41" s="15">
        <v>36</v>
      </c>
      <c r="I41">
        <f>G41+H41</f>
        <v>87</v>
      </c>
      <c r="J41" s="248"/>
      <c r="K41" s="15"/>
      <c r="L41" s="15"/>
      <c r="M41">
        <f>K41+L41</f>
        <v>0</v>
      </c>
      <c r="O41" s="15"/>
      <c r="P41" s="15"/>
      <c r="Q41">
        <f>O41+P41</f>
        <v>0</v>
      </c>
      <c r="S41" s="15"/>
      <c r="T41" s="15"/>
      <c r="U41">
        <f>S41+T41</f>
        <v>0</v>
      </c>
      <c r="W41" s="15"/>
      <c r="X41" s="15"/>
      <c r="Y41">
        <f>W41+X41</f>
        <v>0</v>
      </c>
    </row>
    <row r="42" spans="2:25" ht="12">
      <c r="B42" s="23" t="s">
        <v>6</v>
      </c>
      <c r="C42" s="15">
        <v>20</v>
      </c>
      <c r="D42" s="15">
        <v>80</v>
      </c>
      <c r="E42">
        <f>C42+D42</f>
        <v>100</v>
      </c>
      <c r="G42" s="15">
        <v>169</v>
      </c>
      <c r="H42" s="15">
        <v>68</v>
      </c>
      <c r="I42">
        <f>G42+H42</f>
        <v>237</v>
      </c>
      <c r="J42" s="248"/>
      <c r="K42" s="15"/>
      <c r="L42" s="15"/>
      <c r="M42">
        <f>K42+L42</f>
        <v>0</v>
      </c>
      <c r="O42" s="15"/>
      <c r="P42" s="15"/>
      <c r="Q42">
        <f>O42+P42</f>
        <v>0</v>
      </c>
      <c r="S42" s="15"/>
      <c r="T42" s="15"/>
      <c r="U42">
        <f>S42+T42</f>
        <v>0</v>
      </c>
      <c r="W42" s="15"/>
      <c r="X42" s="15"/>
      <c r="Y42">
        <f>W42+X42</f>
        <v>0</v>
      </c>
    </row>
    <row r="43" spans="3:25" ht="12">
      <c r="C43">
        <f>C41+C42</f>
        <v>60</v>
      </c>
      <c r="D43">
        <f>D41+D42</f>
        <v>140</v>
      </c>
      <c r="E43">
        <f>E41+E42</f>
        <v>200</v>
      </c>
      <c r="G43">
        <f>G41+G42</f>
        <v>220</v>
      </c>
      <c r="H43">
        <f>H41+H42</f>
        <v>104</v>
      </c>
      <c r="I43">
        <f>I41+I42</f>
        <v>324</v>
      </c>
      <c r="J43" s="248"/>
      <c r="K43">
        <f>K41+K42</f>
        <v>0</v>
      </c>
      <c r="L43">
        <f>L41+L42</f>
        <v>0</v>
      </c>
      <c r="M43">
        <f>M41+M42</f>
        <v>0</v>
      </c>
      <c r="O43">
        <f>O41+O42</f>
        <v>0</v>
      </c>
      <c r="P43">
        <f>P41+P42</f>
        <v>0</v>
      </c>
      <c r="Q43">
        <f>Q41+Q42</f>
        <v>0</v>
      </c>
      <c r="S43">
        <f>S41+S42</f>
        <v>0</v>
      </c>
      <c r="T43">
        <f>T41+T42</f>
        <v>0</v>
      </c>
      <c r="U43">
        <f>U41+U42</f>
        <v>0</v>
      </c>
      <c r="W43">
        <f>W41+W42</f>
        <v>0</v>
      </c>
      <c r="X43">
        <f>X41+X42</f>
        <v>0</v>
      </c>
      <c r="Y43">
        <f>Y41+Y42</f>
        <v>0</v>
      </c>
    </row>
    <row r="45" spans="3:24" ht="15">
      <c r="C45" s="16" t="s">
        <v>307</v>
      </c>
      <c r="D45" s="22">
        <f>(C41/E41)/(C42/E42)</f>
        <v>2</v>
      </c>
      <c r="G45" s="16" t="s">
        <v>307</v>
      </c>
      <c r="H45" s="22">
        <f>(G41/I41)/(G42/I42)</f>
        <v>0.8220771271169149</v>
      </c>
      <c r="K45" s="16" t="s">
        <v>307</v>
      </c>
      <c r="L45" s="22" t="e">
        <f>(K41/M41)/(K42/M42)</f>
        <v>#DIV/0!</v>
      </c>
      <c r="O45" s="16" t="s">
        <v>307</v>
      </c>
      <c r="P45" s="22" t="e">
        <f>(O41/Q41)/(O42/Q42)</f>
        <v>#DIV/0!</v>
      </c>
      <c r="S45" s="16" t="s">
        <v>307</v>
      </c>
      <c r="T45" s="22" t="e">
        <f>(S41/U41)/(S42/U42)</f>
        <v>#DIV/0!</v>
      </c>
      <c r="W45" s="16" t="s">
        <v>307</v>
      </c>
      <c r="X45" s="22" t="e">
        <f>(W41/Y41)/(W42/Y42)</f>
        <v>#DIV/0!</v>
      </c>
    </row>
    <row r="46" spans="3:24" ht="15">
      <c r="C46" s="16" t="s">
        <v>28</v>
      </c>
      <c r="D46" s="24">
        <f>(POWER((C41-C59),2)/C59+POWER((D41-D59),2)/D59+POWER((C42-C60),2)/C60+POWER((D42-D60),2)/D60)</f>
        <v>9.523809523809524</v>
      </c>
      <c r="G46" s="16" t="s">
        <v>28</v>
      </c>
      <c r="H46" s="24">
        <f>POWER(G41-G59,2)/G59+POWER(H41-H59,2)/H59+POWER(G42-G60,2)/G60+POWER(H42-H60,2)/H60</f>
        <v>4.699989316663261</v>
      </c>
      <c r="K46" s="16" t="s">
        <v>28</v>
      </c>
      <c r="L46" s="24" t="e">
        <f>POWER(K41-K59,2)/K59+POWER(L41-L59,2)/L59+POWER(K42-K60,2)/K60+POWER(L42-L60,2)/L60</f>
        <v>#DIV/0!</v>
      </c>
      <c r="O46" s="16" t="s">
        <v>28</v>
      </c>
      <c r="P46" s="24" t="e">
        <f>POWER(O41-O59,2)/O59+POWER(P41-P59,2)/P59+POWER(O42-O60,2)/O60+POWER(P42-P60,2)/P60</f>
        <v>#DIV/0!</v>
      </c>
      <c r="S46" s="16" t="s">
        <v>28</v>
      </c>
      <c r="T46" s="24" t="e">
        <f>POWER(S41-S59,2)/S59+POWER(T41-T59,2)/T59+POWER(S42-S60,2)/S60+POWER(T42-T60,2)/T60</f>
        <v>#DIV/0!</v>
      </c>
      <c r="W46" s="16" t="s">
        <v>28</v>
      </c>
      <c r="X46" s="24" t="e">
        <f>POWER(W41-W59,2)/W59+POWER(X41-X59,2)/X59+POWER(W42-W60,2)/W60+POWER(X42-X60,2)/X60</f>
        <v>#DIV/0!</v>
      </c>
    </row>
    <row r="47" spans="3:24" ht="15">
      <c r="C47" s="16" t="s">
        <v>0</v>
      </c>
      <c r="D47" s="107">
        <f>CHITEST((C41:D42),(C59:D60))</f>
        <v>0.002028231148452081</v>
      </c>
      <c r="G47" s="16" t="s">
        <v>0</v>
      </c>
      <c r="H47" s="107">
        <f>CHITEST((G41:H42),(G59:H60))</f>
        <v>0.03016280488821516</v>
      </c>
      <c r="K47" s="16" t="s">
        <v>0</v>
      </c>
      <c r="L47" s="107" t="e">
        <f>CHITEST((K41:L42),(K59:L60))</f>
        <v>#DIV/0!</v>
      </c>
      <c r="O47" s="16" t="s">
        <v>0</v>
      </c>
      <c r="P47" s="107" t="e">
        <f>CHITEST((O41:P42),(O59:P60))</f>
        <v>#DIV/0!</v>
      </c>
      <c r="S47" s="16" t="s">
        <v>0</v>
      </c>
      <c r="T47" s="107" t="e">
        <f>CHITEST((S41:T42),(S59:T60))</f>
        <v>#DIV/0!</v>
      </c>
      <c r="W47" s="16" t="s">
        <v>0</v>
      </c>
      <c r="X47" s="107" t="e">
        <f>CHITEST((W41:X42),(W59:X60))</f>
        <v>#DIV/0!</v>
      </c>
    </row>
    <row r="48" spans="3:24" ht="12">
      <c r="C48" s="247" t="s">
        <v>289</v>
      </c>
      <c r="D48" s="22">
        <v>0.95</v>
      </c>
      <c r="G48" s="247" t="s">
        <v>289</v>
      </c>
      <c r="H48" s="22">
        <v>0.95</v>
      </c>
      <c r="K48" s="247" t="s">
        <v>289</v>
      </c>
      <c r="L48" s="22">
        <v>0.95</v>
      </c>
      <c r="O48" s="247" t="s">
        <v>289</v>
      </c>
      <c r="P48" s="22">
        <v>0.95</v>
      </c>
      <c r="S48" s="247" t="s">
        <v>289</v>
      </c>
      <c r="T48" s="22">
        <v>0.95</v>
      </c>
      <c r="W48" s="247" t="s">
        <v>289</v>
      </c>
      <c r="X48" s="22">
        <v>0.95</v>
      </c>
    </row>
    <row r="49" spans="3:24" ht="15">
      <c r="C49" s="16" t="s">
        <v>149</v>
      </c>
      <c r="D49" s="68">
        <f>D45*EXP(-NORMSINV((1-D48)/2)*D51)</f>
        <v>3.764905782991061</v>
      </c>
      <c r="G49" s="16" t="s">
        <v>149</v>
      </c>
      <c r="H49" s="68">
        <f>H45*EXP(-NORMSINV((1-H48)/2)*H51)</f>
        <v>1.370543768377415</v>
      </c>
      <c r="K49" s="16" t="s">
        <v>149</v>
      </c>
      <c r="L49" s="68" t="e">
        <f>L45*EXP(-NORMSINV((1-L48)/2)*L51)</f>
        <v>#DIV/0!</v>
      </c>
      <c r="O49" s="16" t="s">
        <v>149</v>
      </c>
      <c r="P49" s="68" t="e">
        <f>P45*EXP(-NORMSINV((1-P48)/2)*P51)</f>
        <v>#DIV/0!</v>
      </c>
      <c r="S49" s="16" t="s">
        <v>149</v>
      </c>
      <c r="T49" s="68" t="e">
        <f>T45*EXP(-NORMSINV((1-T48)/2)*T51)</f>
        <v>#DIV/0!</v>
      </c>
      <c r="W49" s="16" t="s">
        <v>149</v>
      </c>
      <c r="X49" s="68" t="e">
        <f>X45*EXP(-NORMSINV((1-X48)/2)*X51)</f>
        <v>#DIV/0!</v>
      </c>
    </row>
    <row r="50" spans="3:24" ht="15">
      <c r="C50" s="16" t="s">
        <v>150</v>
      </c>
      <c r="D50" s="68">
        <f>D45*EXP(NORMSINV((1-D48)/2)*D51)</f>
        <v>1.0624435857255814</v>
      </c>
      <c r="G50" s="16" t="s">
        <v>150</v>
      </c>
      <c r="H50" s="68">
        <f>H45*EXP(NORMSINV((1-H48)/2)*H51)</f>
        <v>0.49309684121134767</v>
      </c>
      <c r="K50" s="16" t="s">
        <v>150</v>
      </c>
      <c r="L50" s="68" t="e">
        <f>L45*EXP(NORMSINV((1-L48)/2)*L51)</f>
        <v>#DIV/0!</v>
      </c>
      <c r="O50" s="16" t="s">
        <v>150</v>
      </c>
      <c r="P50" s="68" t="e">
        <f>P45*EXP(NORMSINV((1-P48)/2)*P51)</f>
        <v>#DIV/0!</v>
      </c>
      <c r="S50" s="16" t="s">
        <v>150</v>
      </c>
      <c r="T50" s="68" t="e">
        <f>T45*EXP(NORMSINV((1-T48)/2)*T51)</f>
        <v>#DIV/0!</v>
      </c>
      <c r="W50" s="16" t="s">
        <v>150</v>
      </c>
      <c r="X50" s="68" t="e">
        <f>X45*EXP(NORMSINV((1-X48)/2)*X51)</f>
        <v>#DIV/0!</v>
      </c>
    </row>
    <row r="51" spans="3:24" s="251" customFormat="1" ht="12">
      <c r="C51" s="259" t="s">
        <v>151</v>
      </c>
      <c r="D51" s="251">
        <f>SQRT(1/C41+1/D41+1/C42+1/D42)</f>
        <v>0.3227486121839514</v>
      </c>
      <c r="G51" s="259" t="s">
        <v>151</v>
      </c>
      <c r="H51" s="251">
        <f>SQRT(1/G41+1/H41+1/G42+1/H42)</f>
        <v>0.26078470628333916</v>
      </c>
      <c r="K51" s="259" t="s">
        <v>151</v>
      </c>
      <c r="L51" s="251" t="e">
        <f>SQRT(1/K41+1/L41+1/K42+1/L42)</f>
        <v>#DIV/0!</v>
      </c>
      <c r="O51" s="259" t="s">
        <v>151</v>
      </c>
      <c r="P51" s="251" t="e">
        <f>SQRT(1/O41+1/P41+1/O42+1/P42)</f>
        <v>#DIV/0!</v>
      </c>
      <c r="S51" s="259" t="s">
        <v>151</v>
      </c>
      <c r="T51" s="251" t="e">
        <f>SQRT(1/S41+1/T41+1/S42+1/T42)</f>
        <v>#DIV/0!</v>
      </c>
      <c r="W51" s="259" t="s">
        <v>151</v>
      </c>
      <c r="X51" s="251" t="e">
        <f>SQRT(1/W41+1/X41+1/W42+1/X42)</f>
        <v>#DIV/0!</v>
      </c>
    </row>
    <row r="52" spans="3:23" s="251" customFormat="1" ht="12">
      <c r="C52" s="259"/>
      <c r="G52" s="259"/>
      <c r="K52" s="259"/>
      <c r="O52" s="259"/>
      <c r="S52" s="259"/>
      <c r="W52" s="259"/>
    </row>
    <row r="53" spans="3:24" s="251" customFormat="1" ht="12">
      <c r="C53" s="259" t="s">
        <v>310</v>
      </c>
      <c r="D53" s="251">
        <f>IF(E43&gt;0,(C41*(C42+D42)/E43),0)</f>
        <v>20</v>
      </c>
      <c r="G53" s="259" t="s">
        <v>310</v>
      </c>
      <c r="H53" s="251">
        <f>IF(I43&gt;0,(G41*(G42+H42)/I43),0)</f>
        <v>37.30555555555556</v>
      </c>
      <c r="K53" s="259" t="s">
        <v>310</v>
      </c>
      <c r="L53" s="251">
        <f>IF(M43&gt;0,(K41*(K42+L42)/M43),0)</f>
        <v>0</v>
      </c>
      <c r="O53" s="259" t="s">
        <v>310</v>
      </c>
      <c r="P53" s="251">
        <f>IF(Q43&gt;0,(O41*(O42+P42)/Q43),0)</f>
        <v>0</v>
      </c>
      <c r="S53" s="259" t="s">
        <v>310</v>
      </c>
      <c r="T53" s="251">
        <f>IF(U43&gt;0,(S41*(S42+T42)/U43),0)</f>
        <v>0</v>
      </c>
      <c r="W53" s="259" t="s">
        <v>310</v>
      </c>
      <c r="X53" s="251">
        <f>IF(Y43&gt;0,(W41*(W42+X42)/Y43),0)</f>
        <v>0</v>
      </c>
    </row>
    <row r="54" spans="3:24" s="251" customFormat="1" ht="12">
      <c r="C54" s="259" t="s">
        <v>312</v>
      </c>
      <c r="D54" s="251">
        <f>IF(E43&gt;0,C42*(C41+D41)/E43,0)</f>
        <v>10</v>
      </c>
      <c r="G54" s="259" t="s">
        <v>312</v>
      </c>
      <c r="H54" s="251">
        <f>IF(I43&gt;0,G42*(G41+H41)/I43,0)</f>
        <v>45.379629629629626</v>
      </c>
      <c r="K54" s="259" t="s">
        <v>312</v>
      </c>
      <c r="L54" s="251">
        <f>IF(M43&gt;0,K42*(K41+L41)/M43,0)</f>
        <v>0</v>
      </c>
      <c r="O54" s="259" t="s">
        <v>312</v>
      </c>
      <c r="P54" s="251">
        <f>IF(Q43&gt;0,O42*(O41+P41)/Q43,0)</f>
        <v>0</v>
      </c>
      <c r="S54" s="259" t="s">
        <v>312</v>
      </c>
      <c r="T54" s="251">
        <f>IF(U43&gt;0,S42*(S41+T41)/U43,0)</f>
        <v>0</v>
      </c>
      <c r="W54" s="259" t="s">
        <v>312</v>
      </c>
      <c r="X54" s="251">
        <f>IF(Y43&gt;0,W42*(W41+X41)/Y43,0)</f>
        <v>0</v>
      </c>
    </row>
    <row r="55" spans="3:23" s="251" customFormat="1" ht="12">
      <c r="C55" s="259"/>
      <c r="G55" s="259"/>
      <c r="K55" s="259"/>
      <c r="O55" s="259"/>
      <c r="S55" s="259"/>
      <c r="W55" s="259"/>
    </row>
    <row r="56" spans="3:23" s="251" customFormat="1" ht="12">
      <c r="C56" s="259"/>
      <c r="G56" s="259"/>
      <c r="K56" s="259"/>
      <c r="O56" s="259"/>
      <c r="S56" s="259"/>
      <c r="W56" s="259"/>
    </row>
    <row r="57" spans="3:23" s="251" customFormat="1" ht="15">
      <c r="C57" s="252" t="s">
        <v>4</v>
      </c>
      <c r="G57" s="252" t="s">
        <v>4</v>
      </c>
      <c r="K57" s="252" t="s">
        <v>4</v>
      </c>
      <c r="O57" s="252" t="s">
        <v>4</v>
      </c>
      <c r="S57" s="252" t="s">
        <v>4</v>
      </c>
      <c r="W57" s="252" t="s">
        <v>4</v>
      </c>
    </row>
    <row r="58" spans="3:24" s="251" customFormat="1" ht="12">
      <c r="C58" s="253" t="s">
        <v>25</v>
      </c>
      <c r="D58" s="253" t="s">
        <v>26</v>
      </c>
      <c r="G58" s="253" t="s">
        <v>25</v>
      </c>
      <c r="H58" s="253" t="s">
        <v>26</v>
      </c>
      <c r="K58" s="253" t="s">
        <v>25</v>
      </c>
      <c r="L58" s="253" t="s">
        <v>26</v>
      </c>
      <c r="O58" s="253" t="s">
        <v>25</v>
      </c>
      <c r="P58" s="253" t="s">
        <v>26</v>
      </c>
      <c r="S58" s="253" t="s">
        <v>25</v>
      </c>
      <c r="T58" s="253" t="s">
        <v>26</v>
      </c>
      <c r="W58" s="253" t="s">
        <v>25</v>
      </c>
      <c r="X58" s="253" t="s">
        <v>26</v>
      </c>
    </row>
    <row r="59" spans="2:25" s="251" customFormat="1" ht="12">
      <c r="B59" s="253" t="s">
        <v>1</v>
      </c>
      <c r="C59" s="254">
        <f>(C43/E43)*E41</f>
        <v>30</v>
      </c>
      <c r="D59" s="254">
        <f>(D43/E43)*E41</f>
        <v>70</v>
      </c>
      <c r="E59" s="255">
        <f>C59+D59</f>
        <v>100</v>
      </c>
      <c r="G59" s="254">
        <f>(G43/I43)*I41</f>
        <v>59.074074074074076</v>
      </c>
      <c r="H59" s="254">
        <f>(H43/I43)*I41</f>
        <v>27.925925925925924</v>
      </c>
      <c r="I59" s="255">
        <f>G59+H59</f>
        <v>87</v>
      </c>
      <c r="K59" s="254" t="e">
        <f>(K43/M43)*M41</f>
        <v>#DIV/0!</v>
      </c>
      <c r="L59" s="254" t="e">
        <f>(L43/M43)*M41</f>
        <v>#DIV/0!</v>
      </c>
      <c r="M59" s="255" t="e">
        <f>K59+L59</f>
        <v>#DIV/0!</v>
      </c>
      <c r="O59" s="254" t="e">
        <f>(O43/Q43)*Q41</f>
        <v>#DIV/0!</v>
      </c>
      <c r="P59" s="254" t="e">
        <f>(P43/Q43)*Q41</f>
        <v>#DIV/0!</v>
      </c>
      <c r="Q59" s="255" t="e">
        <f>O59+P59</f>
        <v>#DIV/0!</v>
      </c>
      <c r="S59" s="254" t="e">
        <f>(S43/U43)*U41</f>
        <v>#DIV/0!</v>
      </c>
      <c r="T59" s="254" t="e">
        <f>(T43/U43)*U41</f>
        <v>#DIV/0!</v>
      </c>
      <c r="U59" s="255" t="e">
        <f>S59+T59</f>
        <v>#DIV/0!</v>
      </c>
      <c r="W59" s="254" t="e">
        <f>(W43/Y43)*Y41</f>
        <v>#DIV/0!</v>
      </c>
      <c r="X59" s="254" t="e">
        <f>(X43/Y43)*Y41</f>
        <v>#DIV/0!</v>
      </c>
      <c r="Y59" s="255" t="e">
        <f>W59+X59</f>
        <v>#DIV/0!</v>
      </c>
    </row>
    <row r="60" spans="2:25" s="251" customFormat="1" ht="12">
      <c r="B60" s="253" t="s">
        <v>6</v>
      </c>
      <c r="C60" s="254">
        <f>(C43/E43)*E42</f>
        <v>30</v>
      </c>
      <c r="D60" s="254">
        <f>(D43/E43)*E42</f>
        <v>70</v>
      </c>
      <c r="E60" s="255">
        <f>C60+D60</f>
        <v>100</v>
      </c>
      <c r="G60" s="254">
        <f>(G43/I43)*I42</f>
        <v>160.92592592592592</v>
      </c>
      <c r="H60" s="254">
        <f>(H43/I43)*I42</f>
        <v>76.07407407407408</v>
      </c>
      <c r="I60" s="255">
        <f>G60+H60</f>
        <v>237</v>
      </c>
      <c r="K60" s="254" t="e">
        <f>(K43/M43)*M42</f>
        <v>#DIV/0!</v>
      </c>
      <c r="L60" s="254" t="e">
        <f>(L43/M43)*M42</f>
        <v>#DIV/0!</v>
      </c>
      <c r="M60" s="255" t="e">
        <f>K60+L60</f>
        <v>#DIV/0!</v>
      </c>
      <c r="O60" s="254" t="e">
        <f>(O43/Q43)*Q42</f>
        <v>#DIV/0!</v>
      </c>
      <c r="P60" s="254" t="e">
        <f>(P43/Q43)*Q42</f>
        <v>#DIV/0!</v>
      </c>
      <c r="Q60" s="255" t="e">
        <f>O60+P60</f>
        <v>#DIV/0!</v>
      </c>
      <c r="S60" s="254" t="e">
        <f>(S43/U43)*U42</f>
        <v>#DIV/0!</v>
      </c>
      <c r="T60" s="254" t="e">
        <f>(T43/U43)*U42</f>
        <v>#DIV/0!</v>
      </c>
      <c r="U60" s="255" t="e">
        <f>S60+T60</f>
        <v>#DIV/0!</v>
      </c>
      <c r="W60" s="254" t="e">
        <f>(W43/Y43)*Y42</f>
        <v>#DIV/0!</v>
      </c>
      <c r="X60" s="254" t="e">
        <f>(X43/Y43)*Y42</f>
        <v>#DIV/0!</v>
      </c>
      <c r="Y60" s="255" t="e">
        <f>W60+X60</f>
        <v>#DIV/0!</v>
      </c>
    </row>
    <row r="61" spans="3:25" s="251" customFormat="1" ht="12">
      <c r="C61" s="251">
        <f>C59+C60</f>
        <v>60</v>
      </c>
      <c r="D61" s="251">
        <f>D59+D60</f>
        <v>140</v>
      </c>
      <c r="E61" s="251">
        <f>E59+E60</f>
        <v>200</v>
      </c>
      <c r="G61" s="251">
        <f>G59+G60</f>
        <v>220</v>
      </c>
      <c r="H61" s="251">
        <f>H59+H60</f>
        <v>104</v>
      </c>
      <c r="I61" s="251">
        <f>I59+I60</f>
        <v>324</v>
      </c>
      <c r="K61" s="251" t="e">
        <f>K59+K60</f>
        <v>#DIV/0!</v>
      </c>
      <c r="L61" s="251" t="e">
        <f>L59+L60</f>
        <v>#DIV/0!</v>
      </c>
      <c r="M61" s="251" t="e">
        <f>M59+M60</f>
        <v>#DIV/0!</v>
      </c>
      <c r="O61" s="251" t="e">
        <f>O59+O60</f>
        <v>#DIV/0!</v>
      </c>
      <c r="P61" s="251" t="e">
        <f>P59+P60</f>
        <v>#DIV/0!</v>
      </c>
      <c r="Q61" s="251" t="e">
        <f>Q59+Q60</f>
        <v>#DIV/0!</v>
      </c>
      <c r="S61" s="251" t="e">
        <f>S59+S60</f>
        <v>#DIV/0!</v>
      </c>
      <c r="T61" s="251" t="e">
        <f>T59+T60</f>
        <v>#DIV/0!</v>
      </c>
      <c r="U61" s="251" t="e">
        <f>U59+U60</f>
        <v>#DIV/0!</v>
      </c>
      <c r="W61" s="251" t="e">
        <f>W59+W60</f>
        <v>#DIV/0!</v>
      </c>
      <c r="X61" s="251" t="e">
        <f>X59+X60</f>
        <v>#DIV/0!</v>
      </c>
      <c r="Y61" s="251" t="e">
        <f>Y59+Y60</f>
        <v>#DIV/0!</v>
      </c>
    </row>
    <row r="62" s="251" customFormat="1" ht="12"/>
    <row r="63" spans="1:23" s="251" customFormat="1" ht="12">
      <c r="A63" s="253" t="s">
        <v>313</v>
      </c>
      <c r="B63" s="260" t="s">
        <v>321</v>
      </c>
      <c r="C63" s="251">
        <f>(C41*D42-D41*C42)/E43</f>
        <v>10</v>
      </c>
      <c r="F63" s="260" t="s">
        <v>321</v>
      </c>
      <c r="G63" s="251">
        <f>(G41*H42-H41*G42)/I43</f>
        <v>-8.074074074074074</v>
      </c>
      <c r="J63" s="260" t="s">
        <v>321</v>
      </c>
      <c r="K63" s="251" t="e">
        <f>(K41*L42-L41*K42)/M43</f>
        <v>#DIV/0!</v>
      </c>
      <c r="N63" s="260" t="s">
        <v>321</v>
      </c>
      <c r="O63" s="251" t="e">
        <f>(O41*P42-P41*O42)/Q43</f>
        <v>#DIV/0!</v>
      </c>
      <c r="R63" s="260" t="s">
        <v>321</v>
      </c>
      <c r="S63" s="251" t="e">
        <f>(S41*T42-T41*S42)/U43</f>
        <v>#DIV/0!</v>
      </c>
      <c r="V63" s="260" t="s">
        <v>321</v>
      </c>
      <c r="W63" s="251" t="e">
        <f>(W41*X42-X41*W42)/Y43</f>
        <v>#DIV/0!</v>
      </c>
    </row>
    <row r="64" spans="2:23" s="251" customFormat="1" ht="12">
      <c r="B64" s="260" t="s">
        <v>322</v>
      </c>
      <c r="C64" s="251">
        <f>(C43*D43*E41*E42)/(E43*E43*(E43-1))</f>
        <v>10.552763819095478</v>
      </c>
      <c r="F64" s="260" t="s">
        <v>322</v>
      </c>
      <c r="G64" s="251">
        <f>(G43*H43*I41*I42)/(I43*I43*(I43-1))</f>
        <v>13.913329681016872</v>
      </c>
      <c r="J64" s="260" t="s">
        <v>322</v>
      </c>
      <c r="K64" s="251" t="e">
        <f>(K43*L43*M41*M42)/(M43*M43*(M43-1))</f>
        <v>#DIV/0!</v>
      </c>
      <c r="N64" s="260" t="s">
        <v>322</v>
      </c>
      <c r="O64" s="251" t="e">
        <f>(O43*P43*Q41*Q42)/(Q43*Q43*(Q43-1))</f>
        <v>#DIV/0!</v>
      </c>
      <c r="R64" s="260" t="s">
        <v>322</v>
      </c>
      <c r="S64" s="251" t="e">
        <f>(S43*T43*U41*U42)/(U43*U43*(U43-1))</f>
        <v>#DIV/0!</v>
      </c>
      <c r="V64" s="260" t="s">
        <v>322</v>
      </c>
      <c r="W64" s="251" t="e">
        <f>(W43*X43*Y41*Y42)/(Y43*Y43*(Y43-1))</f>
        <v>#DIV/0!</v>
      </c>
    </row>
    <row r="65" spans="2:22" s="251" customFormat="1" ht="12">
      <c r="B65" s="260" t="s">
        <v>302</v>
      </c>
      <c r="C65" s="251">
        <f>(POWER(SUM(IF(E43&gt;0,C63,0)+IF(I43&gt;0,G63,0)+IF(M43&gt;0,K63,0)+IF(Q43&gt;0,57,0)+IF(U43&gt;0,S63,0)+IF(Y43&gt;0,W63,0)),2))</f>
        <v>3.7091906721536336</v>
      </c>
      <c r="F65" s="260"/>
      <c r="J65" s="260"/>
      <c r="N65" s="260"/>
      <c r="R65" s="260"/>
      <c r="V65" s="260"/>
    </row>
    <row r="66" spans="2:22" s="251" customFormat="1" ht="12">
      <c r="B66" s="260" t="s">
        <v>303</v>
      </c>
      <c r="C66" s="251">
        <f>(POWER(SUM(IF(E43&gt;0,C64,0)+IF(I43&gt;0,G64,0)+IF(M43&gt;0,K64,0)+IF(Q43&gt;0,57,0)+IF(U43&gt;0,S64,0)+IF(Y43&gt;0,W64,0)),2))</f>
        <v>598.5897311562398</v>
      </c>
      <c r="F66" s="260"/>
      <c r="J66" s="260"/>
      <c r="N66" s="260"/>
      <c r="R66" s="260"/>
      <c r="V66" s="260"/>
    </row>
    <row r="67" spans="2:22" s="251" customFormat="1" ht="12">
      <c r="B67" s="260" t="s">
        <v>304</v>
      </c>
      <c r="C67" s="251">
        <f>C65/C66</f>
        <v>0.006196549120528574</v>
      </c>
      <c r="F67" s="260"/>
      <c r="J67" s="260"/>
      <c r="N67" s="260"/>
      <c r="R67" s="260"/>
      <c r="V67" s="260"/>
    </row>
    <row r="68" spans="2:3" s="251" customFormat="1" ht="12">
      <c r="B68" s="260" t="s">
        <v>305</v>
      </c>
      <c r="C68" s="251">
        <f>CHIDIST(C67,1)</f>
        <v>0.9372567986559398</v>
      </c>
    </row>
    <row r="69" s="251" customFormat="1" ht="12">
      <c r="B69" s="260"/>
    </row>
    <row r="70" spans="1:23" s="251" customFormat="1" ht="12">
      <c r="A70" s="253" t="s">
        <v>314</v>
      </c>
      <c r="B70" s="251" t="s">
        <v>315</v>
      </c>
      <c r="C70" s="251">
        <f>C41*E42/E43</f>
        <v>20</v>
      </c>
      <c r="F70" s="251" t="s">
        <v>315</v>
      </c>
      <c r="G70" s="251">
        <f>G41*I42/I43</f>
        <v>37.30555555555556</v>
      </c>
      <c r="J70" s="251" t="s">
        <v>315</v>
      </c>
      <c r="K70" s="251" t="e">
        <f>K41*M42/M43</f>
        <v>#DIV/0!</v>
      </c>
      <c r="N70" s="251" t="s">
        <v>315</v>
      </c>
      <c r="O70" s="251" t="e">
        <f>O41*Q42/Q43</f>
        <v>#DIV/0!</v>
      </c>
      <c r="R70" s="251" t="s">
        <v>315</v>
      </c>
      <c r="S70" s="251" t="e">
        <f>S41*U42/U43</f>
        <v>#DIV/0!</v>
      </c>
      <c r="V70" s="251" t="s">
        <v>315</v>
      </c>
      <c r="W70" s="251" t="e">
        <f>W41*Y42/Y43</f>
        <v>#DIV/0!</v>
      </c>
    </row>
    <row r="71" spans="1:23" s="251" customFormat="1" ht="12">
      <c r="A71" s="251" t="s">
        <v>320</v>
      </c>
      <c r="B71" s="251" t="s">
        <v>316</v>
      </c>
      <c r="C71" s="251">
        <f>C42*E41/E43</f>
        <v>10</v>
      </c>
      <c r="F71" s="251" t="s">
        <v>316</v>
      </c>
      <c r="G71" s="251">
        <f>G42*I41/I43</f>
        <v>45.379629629629626</v>
      </c>
      <c r="J71" s="251" t="s">
        <v>316</v>
      </c>
      <c r="K71" s="251" t="e">
        <f>K42*M41/M43</f>
        <v>#DIV/0!</v>
      </c>
      <c r="N71" s="251" t="s">
        <v>316</v>
      </c>
      <c r="O71" s="251" t="e">
        <f>O42*Q41/Q43</f>
        <v>#DIV/0!</v>
      </c>
      <c r="R71" s="251" t="s">
        <v>316</v>
      </c>
      <c r="S71" s="251" t="e">
        <f>S42*U41/U43</f>
        <v>#DIV/0!</v>
      </c>
      <c r="V71" s="251" t="s">
        <v>316</v>
      </c>
      <c r="W71" s="251" t="e">
        <f>W42*Y41/Y43</f>
        <v>#DIV/0!</v>
      </c>
    </row>
    <row r="72" spans="2:3" s="251" customFormat="1" ht="12">
      <c r="B72" s="251" t="s">
        <v>318</v>
      </c>
      <c r="C72" s="251">
        <f>IF(E43&gt;0,C70,0)+IF(I43&gt;0,G70,0)+IF(M43&gt;0,K70,0)+IF(Q43&gt;0,O70,0)+IF(U43&gt;0,S70,0)+IF(Y43&gt;0,W70,0)</f>
        <v>57.30555555555556</v>
      </c>
    </row>
    <row r="73" spans="2:3" s="251" customFormat="1" ht="12">
      <c r="B73" s="251" t="s">
        <v>319</v>
      </c>
      <c r="C73" s="251">
        <f>IF(E43&gt;0,C71,0)+IF(I43&gt;0,G71,0)+IF(M43&gt;0,K71,0)+IF(Q43&gt;0,O71,0)+IF(U43&gt;0,S71,0)+IF(Y43&gt;0,W71,0)</f>
        <v>55.379629629629626</v>
      </c>
    </row>
    <row r="74" spans="2:3" s="251" customFormat="1" ht="12">
      <c r="B74" s="260" t="s">
        <v>317</v>
      </c>
      <c r="C74" s="251">
        <f>C72/C73</f>
        <v>1.0347767931783984</v>
      </c>
    </row>
    <row r="75" ht="12">
      <c r="B75" s="1"/>
    </row>
    <row r="79" ht="12">
      <c r="B79" s="1"/>
    </row>
  </sheetData>
  <sheetProtection/>
  <mergeCells count="12">
    <mergeCell ref="L1:N1"/>
    <mergeCell ref="A18:K18"/>
    <mergeCell ref="A1:F1"/>
    <mergeCell ref="E12:J12"/>
    <mergeCell ref="K38:L38"/>
    <mergeCell ref="H37:J37"/>
    <mergeCell ref="H38:J38"/>
    <mergeCell ref="A19:F19"/>
    <mergeCell ref="A34:K34"/>
    <mergeCell ref="D23:E23"/>
    <mergeCell ref="D24:E24"/>
    <mergeCell ref="D25:E25"/>
  </mergeCells>
  <hyperlinks>
    <hyperlink ref="I1" location="'Main Menu'!A1" display="Main Menu"/>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O31"/>
  <sheetViews>
    <sheetView workbookViewId="0" topLeftCell="A1">
      <selection activeCell="K12" sqref="K12"/>
    </sheetView>
  </sheetViews>
  <sheetFormatPr defaultColWidth="9.140625" defaultRowHeight="12.75"/>
  <cols>
    <col min="1" max="1" width="13.00390625" style="78" customWidth="1"/>
    <col min="2" max="2" width="10.7109375" style="78" customWidth="1"/>
    <col min="3" max="3" width="12.00390625" style="78" customWidth="1"/>
    <col min="4" max="4" width="7.7109375" style="78" customWidth="1"/>
    <col min="5" max="5" width="6.28125" style="78" customWidth="1"/>
    <col min="6" max="6" width="11.421875" style="78" customWidth="1"/>
    <col min="7" max="7" width="11.00390625" style="78" customWidth="1"/>
    <col min="8" max="8" width="10.421875" style="78" customWidth="1"/>
    <col min="9" max="9" width="6.7109375" style="78" customWidth="1"/>
    <col min="10" max="10" width="6.140625" style="78" customWidth="1"/>
    <col min="11" max="16384" width="9.140625" style="78" customWidth="1"/>
  </cols>
  <sheetData>
    <row r="1" spans="1:15" ht="31.5" customHeight="1">
      <c r="A1" s="75"/>
      <c r="B1" s="76"/>
      <c r="C1" s="76"/>
      <c r="D1" s="77"/>
      <c r="F1" s="167" t="s">
        <v>193</v>
      </c>
      <c r="G1" s="330" t="s">
        <v>287</v>
      </c>
      <c r="H1" s="331"/>
      <c r="I1" s="331"/>
      <c r="J1" s="332"/>
      <c r="K1" s="319" t="s">
        <v>29</v>
      </c>
      <c r="L1" s="320"/>
      <c r="M1" s="320"/>
      <c r="N1" s="320"/>
      <c r="O1" s="321"/>
    </row>
    <row r="2" spans="1:15" ht="15">
      <c r="A2" s="79" t="s">
        <v>21</v>
      </c>
      <c r="B2" s="80" t="s">
        <v>5</v>
      </c>
      <c r="G2" s="81" t="s">
        <v>4</v>
      </c>
      <c r="K2" s="322"/>
      <c r="L2" s="323"/>
      <c r="M2" s="323"/>
      <c r="N2" s="323"/>
      <c r="O2" s="324"/>
    </row>
    <row r="3" spans="2:15" ht="12">
      <c r="B3" s="82" t="s">
        <v>3</v>
      </c>
      <c r="C3" s="82" t="s">
        <v>2</v>
      </c>
      <c r="D3" s="83"/>
      <c r="E3" s="83"/>
      <c r="F3" s="83"/>
      <c r="G3" s="82" t="s">
        <v>3</v>
      </c>
      <c r="H3" s="82" t="s">
        <v>2</v>
      </c>
      <c r="K3" s="322"/>
      <c r="L3" s="323"/>
      <c r="M3" s="323"/>
      <c r="N3" s="323"/>
      <c r="O3" s="324"/>
    </row>
    <row r="4" spans="1:15" ht="12">
      <c r="A4" s="83" t="s">
        <v>1</v>
      </c>
      <c r="B4" s="74">
        <v>7</v>
      </c>
      <c r="C4" s="74">
        <v>124</v>
      </c>
      <c r="D4" s="78">
        <f>B4+C4</f>
        <v>131</v>
      </c>
      <c r="F4" s="83" t="s">
        <v>1</v>
      </c>
      <c r="G4" s="84">
        <f>(B6/D6)*D4</f>
        <v>4.9904761904761905</v>
      </c>
      <c r="H4" s="84">
        <f>D4-G4</f>
        <v>126.00952380952381</v>
      </c>
      <c r="I4" s="78">
        <f>G4+H4</f>
        <v>131</v>
      </c>
      <c r="K4" s="322"/>
      <c r="L4" s="323"/>
      <c r="M4" s="323"/>
      <c r="N4" s="323"/>
      <c r="O4" s="324"/>
    </row>
    <row r="5" spans="1:15" ht="12">
      <c r="A5" s="83" t="s">
        <v>6</v>
      </c>
      <c r="B5" s="74">
        <v>1</v>
      </c>
      <c r="C5" s="74">
        <v>78</v>
      </c>
      <c r="D5" s="78">
        <f>B5+C5</f>
        <v>79</v>
      </c>
      <c r="F5" s="83" t="s">
        <v>6</v>
      </c>
      <c r="G5" s="84">
        <f>(B6/D6)*D5</f>
        <v>3.00952380952381</v>
      </c>
      <c r="H5" s="84">
        <f>D5-G5</f>
        <v>75.99047619047619</v>
      </c>
      <c r="I5" s="78">
        <f>G5+H5</f>
        <v>79</v>
      </c>
      <c r="K5" s="322"/>
      <c r="L5" s="323"/>
      <c r="M5" s="323"/>
      <c r="N5" s="323"/>
      <c r="O5" s="324"/>
    </row>
    <row r="6" spans="2:15" ht="12">
      <c r="B6" s="78">
        <f>B4+B5</f>
        <v>8</v>
      </c>
      <c r="C6" s="78">
        <f>C4+C5</f>
        <v>202</v>
      </c>
      <c r="D6" s="78">
        <f>D4+D5</f>
        <v>210</v>
      </c>
      <c r="G6" s="78">
        <f>G4+G5</f>
        <v>8</v>
      </c>
      <c r="H6" s="78">
        <f>H4+H5</f>
        <v>202</v>
      </c>
      <c r="I6" s="78">
        <f>I4+I5</f>
        <v>210</v>
      </c>
      <c r="K6" s="322"/>
      <c r="L6" s="323"/>
      <c r="M6" s="323"/>
      <c r="N6" s="323"/>
      <c r="O6" s="324"/>
    </row>
    <row r="7" spans="11:15" ht="12">
      <c r="K7" s="322"/>
      <c r="L7" s="323"/>
      <c r="M7" s="323"/>
      <c r="N7" s="323"/>
      <c r="O7" s="324"/>
    </row>
    <row r="8" spans="1:15" ht="12">
      <c r="A8" s="85" t="s">
        <v>0</v>
      </c>
      <c r="B8" s="78">
        <f>CHITEST((B4:C5),(G4:H5))</f>
        <v>0.1348147055013727</v>
      </c>
      <c r="F8" s="86" t="s">
        <v>7</v>
      </c>
      <c r="G8" s="78">
        <f>8/210</f>
        <v>0.0380952380952381</v>
      </c>
      <c r="K8" s="322"/>
      <c r="L8" s="323"/>
      <c r="M8" s="323"/>
      <c r="N8" s="323"/>
      <c r="O8" s="324"/>
    </row>
    <row r="9" spans="1:15" ht="69.75" customHeight="1">
      <c r="A9" s="317" t="s">
        <v>30</v>
      </c>
      <c r="B9" s="318"/>
      <c r="C9" s="318"/>
      <c r="D9" s="318"/>
      <c r="E9" s="318"/>
      <c r="F9" s="318"/>
      <c r="G9" s="318"/>
      <c r="H9" s="318"/>
      <c r="I9" s="318"/>
      <c r="J9" s="318"/>
      <c r="K9" s="322"/>
      <c r="L9" s="323"/>
      <c r="M9" s="323"/>
      <c r="N9" s="323"/>
      <c r="O9" s="324"/>
    </row>
    <row r="10" spans="1:15" ht="15.75">
      <c r="A10" s="87" t="s">
        <v>20</v>
      </c>
      <c r="K10" s="325"/>
      <c r="L10" s="326"/>
      <c r="M10" s="326"/>
      <c r="N10" s="326"/>
      <c r="O10" s="327"/>
    </row>
    <row r="11" spans="2:7" ht="15.75">
      <c r="B11" s="80" t="s">
        <v>5</v>
      </c>
      <c r="G11" s="81" t="s">
        <v>4</v>
      </c>
    </row>
    <row r="12" spans="2:8" ht="12">
      <c r="B12" s="82" t="s">
        <v>3</v>
      </c>
      <c r="C12" s="82" t="s">
        <v>2</v>
      </c>
      <c r="D12" s="83"/>
      <c r="E12" s="83"/>
      <c r="F12" s="83"/>
      <c r="G12" s="82" t="s">
        <v>3</v>
      </c>
      <c r="H12" s="82" t="s">
        <v>2</v>
      </c>
    </row>
    <row r="13" spans="1:9" ht="12">
      <c r="A13" s="83" t="s">
        <v>1</v>
      </c>
      <c r="B13" s="15"/>
      <c r="C13" s="15"/>
      <c r="D13" s="78">
        <f>B13+C13</f>
        <v>0</v>
      </c>
      <c r="F13" s="83" t="s">
        <v>1</v>
      </c>
      <c r="G13" s="84" t="e">
        <f>(B15/D15)*D13</f>
        <v>#DIV/0!</v>
      </c>
      <c r="H13" s="84" t="e">
        <f>D13-G13</f>
        <v>#DIV/0!</v>
      </c>
      <c r="I13" s="78" t="e">
        <f>G13+H13</f>
        <v>#DIV/0!</v>
      </c>
    </row>
    <row r="14" spans="1:9" ht="12">
      <c r="A14" s="83" t="s">
        <v>6</v>
      </c>
      <c r="B14" s="15"/>
      <c r="C14" s="15"/>
      <c r="D14" s="78">
        <f>B14+C14</f>
        <v>0</v>
      </c>
      <c r="F14" s="83" t="s">
        <v>6</v>
      </c>
      <c r="G14" s="84" t="e">
        <f>(B15/D15)*D14</f>
        <v>#DIV/0!</v>
      </c>
      <c r="H14" s="84" t="e">
        <f>D14-G14</f>
        <v>#DIV/0!</v>
      </c>
      <c r="I14" s="78" t="e">
        <f>G14+H14</f>
        <v>#DIV/0!</v>
      </c>
    </row>
    <row r="15" spans="2:9" ht="12">
      <c r="B15" s="78">
        <f>B13+B14</f>
        <v>0</v>
      </c>
      <c r="C15" s="78">
        <f>C13+C14</f>
        <v>0</v>
      </c>
      <c r="D15" s="78">
        <f>D13+D14</f>
        <v>0</v>
      </c>
      <c r="G15" s="78" t="e">
        <f>G13+G14</f>
        <v>#DIV/0!</v>
      </c>
      <c r="H15" s="78" t="e">
        <f>H13+H14</f>
        <v>#DIV/0!</v>
      </c>
      <c r="I15" s="78" t="e">
        <f>I13+I14</f>
        <v>#DIV/0!</v>
      </c>
    </row>
    <row r="16" spans="1:2" ht="15">
      <c r="A16" s="89" t="s">
        <v>28</v>
      </c>
      <c r="B16" s="90" t="e">
        <f>POWER(B13-G13,2)/G13+POWER(C13-H13,2)/H13+POWER(B14-G14,2)/G14+POWER(C14-H14,2)/H14</f>
        <v>#DIV/0!</v>
      </c>
    </row>
    <row r="17" spans="1:9" ht="15">
      <c r="A17" s="91" t="s">
        <v>0</v>
      </c>
      <c r="B17" s="92" t="e">
        <f>CHIDIST(B16,1)</f>
        <v>#DIV/0!</v>
      </c>
      <c r="D17" s="329" t="e">
        <f>IF(G13&lt;5,"Chi square inappropriate; an expected cell is &lt;5.",IF(H13&lt;5,"Chi square inappropriate; an expected cell is &lt;5.",IF(G14&lt;5,"Chi square inappropriate; an expected cell is &lt;5.",IF(H14&lt;5,"Chi square inappropriate; an expected cell is &lt;5.",""))))</f>
        <v>#DIV/0!</v>
      </c>
      <c r="E17" s="315"/>
      <c r="F17" s="315"/>
      <c r="G17" s="315"/>
      <c r="H17" s="315"/>
      <c r="I17" s="316"/>
    </row>
    <row r="18" spans="1:15" ht="8.25" customHeight="1">
      <c r="A18" s="328"/>
      <c r="B18" s="328"/>
      <c r="C18" s="328"/>
      <c r="D18" s="328"/>
      <c r="E18" s="328"/>
      <c r="F18" s="328"/>
      <c r="G18" s="328"/>
      <c r="H18" s="328"/>
      <c r="I18" s="328"/>
      <c r="J18" s="328"/>
      <c r="K18" s="328"/>
      <c r="L18" s="328"/>
      <c r="M18" s="328"/>
      <c r="N18" s="328"/>
      <c r="O18" s="328"/>
    </row>
    <row r="19" ht="12">
      <c r="A19" s="78" t="s">
        <v>38</v>
      </c>
    </row>
    <row r="20" ht="12">
      <c r="A20" s="78" t="s">
        <v>31</v>
      </c>
    </row>
    <row r="21" spans="2:4" ht="15">
      <c r="B21" s="85" t="s">
        <v>39</v>
      </c>
      <c r="C21" s="93" t="s">
        <v>40</v>
      </c>
      <c r="D21" s="78" t="s">
        <v>42</v>
      </c>
    </row>
    <row r="22" ht="12">
      <c r="B22" s="78" t="s">
        <v>41</v>
      </c>
    </row>
    <row r="23" spans="2:7" ht="15">
      <c r="B23" s="80" t="s">
        <v>5</v>
      </c>
      <c r="G23" s="81" t="s">
        <v>4</v>
      </c>
    </row>
    <row r="24" spans="2:8" ht="12">
      <c r="B24" s="83" t="s">
        <v>32</v>
      </c>
      <c r="C24" s="83" t="s">
        <v>33</v>
      </c>
      <c r="G24" s="83" t="s">
        <v>32</v>
      </c>
      <c r="H24" s="83" t="s">
        <v>33</v>
      </c>
    </row>
    <row r="25" spans="1:9" ht="12">
      <c r="A25" s="83" t="s">
        <v>34</v>
      </c>
      <c r="B25" s="88">
        <v>2</v>
      </c>
      <c r="C25" s="88">
        <v>5</v>
      </c>
      <c r="D25" s="78">
        <f>SUM(B25:C25)</f>
        <v>7</v>
      </c>
      <c r="G25" s="84">
        <f>($B$29/$D$29)*D25</f>
        <v>3.2905982905982905</v>
      </c>
      <c r="H25" s="84">
        <f>D25-G25</f>
        <v>3.7094017094017095</v>
      </c>
      <c r="I25" s="78">
        <f>SUM(G25:H25)</f>
        <v>7</v>
      </c>
    </row>
    <row r="26" spans="1:9" ht="12">
      <c r="A26" s="83" t="s">
        <v>35</v>
      </c>
      <c r="B26" s="88">
        <v>8</v>
      </c>
      <c r="C26" s="88">
        <v>30</v>
      </c>
      <c r="D26" s="78">
        <f>SUM(B26:C26)</f>
        <v>38</v>
      </c>
      <c r="G26" s="84">
        <f>($B$29/$D$29)*D26</f>
        <v>17.863247863247864</v>
      </c>
      <c r="H26" s="84">
        <f>D26-G26</f>
        <v>20.136752136752136</v>
      </c>
      <c r="I26" s="78">
        <f>SUM(G26:H26)</f>
        <v>38</v>
      </c>
    </row>
    <row r="27" spans="1:9" ht="12">
      <c r="A27" s="83" t="s">
        <v>36</v>
      </c>
      <c r="B27" s="88">
        <v>20</v>
      </c>
      <c r="C27" s="88">
        <v>15</v>
      </c>
      <c r="D27" s="78">
        <f>SUM(B27:C27)</f>
        <v>35</v>
      </c>
      <c r="G27" s="84">
        <f>($B$29/$D$29)*D27</f>
        <v>16.45299145299145</v>
      </c>
      <c r="H27" s="84">
        <f>D27-G27</f>
        <v>18.54700854700855</v>
      </c>
      <c r="I27" s="78">
        <f>SUM(G27:H27)</f>
        <v>35</v>
      </c>
    </row>
    <row r="28" spans="1:9" ht="12">
      <c r="A28" s="83" t="s">
        <v>37</v>
      </c>
      <c r="B28" s="88">
        <v>25</v>
      </c>
      <c r="C28" s="88">
        <v>12</v>
      </c>
      <c r="D28" s="78">
        <f>SUM(B28:C28)</f>
        <v>37</v>
      </c>
      <c r="G28" s="84">
        <f>($B$29/$D$29)*D28</f>
        <v>17.39316239316239</v>
      </c>
      <c r="H28" s="84">
        <f>D28-G28</f>
        <v>19.60683760683761</v>
      </c>
      <c r="I28" s="78">
        <f>SUM(G28:H28)</f>
        <v>37</v>
      </c>
    </row>
    <row r="29" spans="2:9" ht="12">
      <c r="B29" s="78">
        <f>SUM(B25:B28)</f>
        <v>55</v>
      </c>
      <c r="C29" s="78">
        <f>SUM(C25:C28)</f>
        <v>62</v>
      </c>
      <c r="D29" s="78">
        <f>SUM(B29:C29)</f>
        <v>117</v>
      </c>
      <c r="G29" s="78">
        <f>SUM(G25:G28)</f>
        <v>54.99999999999999</v>
      </c>
      <c r="H29" s="78">
        <f>SUM(H25:H28)</f>
        <v>62.00000000000001</v>
      </c>
      <c r="I29" s="78">
        <f>SUM(G29:H29)</f>
        <v>117</v>
      </c>
    </row>
    <row r="31" spans="1:2" ht="15">
      <c r="A31" s="91" t="s">
        <v>0</v>
      </c>
      <c r="B31" s="94">
        <f>CHITEST(B25:C28,G25:H28)</f>
        <v>0.0002795252330868277</v>
      </c>
    </row>
  </sheetData>
  <sheetProtection password="C774" sheet="1" objects="1" scenarios="1"/>
  <mergeCells count="5">
    <mergeCell ref="A9:J9"/>
    <mergeCell ref="K1:O10"/>
    <mergeCell ref="A18:O18"/>
    <mergeCell ref="D17:I17"/>
    <mergeCell ref="G1:J1"/>
  </mergeCells>
  <hyperlinks>
    <hyperlink ref="F1" location="'Main Menu'!A1" display="Main Menu"/>
  </hyperlink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Wayne LaMorte</dc:creator>
  <cp:keywords/>
  <dc:description/>
  <cp:lastModifiedBy>Young-Joo Lee</cp:lastModifiedBy>
  <dcterms:created xsi:type="dcterms:W3CDTF">2004-11-25T11:57:22Z</dcterms:created>
  <dcterms:modified xsi:type="dcterms:W3CDTF">2011-07-22T20:11:48Z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