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autoCompressPictures="0"/>
  <mc:AlternateContent xmlns:mc="http://schemas.openxmlformats.org/markup-compatibility/2006">
    <mc:Choice Requires="x15">
      <x15ac:absPath xmlns:x15ac="http://schemas.microsoft.com/office/spreadsheetml/2010/11/ac" url="/Users/dkotton/Documents/papers/Maria lung/"/>
    </mc:Choice>
  </mc:AlternateContent>
  <xr:revisionPtr revIDLastSave="0" documentId="13_ncr:1_{7C080972-596A-934F-AA3F-087B8543FEB3}" xr6:coauthVersionLast="36" xr6:coauthVersionMax="36" xr10:uidLastSave="{00000000-0000-0000-0000-000000000000}"/>
  <bookViews>
    <workbookView xWindow="960" yWindow="460" windowWidth="30600" windowHeight="16660" xr2:uid="{00000000-000D-0000-FFFF-FFFF00000000}"/>
  </bookViews>
  <sheets>
    <sheet name="2016-09-22_Kotton_clusters" sheetId="2" r:id="rId1"/>
    <sheet name="List Figure 4" sheetId="3" r:id="rId2"/>
    <sheet name="Image Figure 4" sheetId="9" r:id="rId3"/>
  </sheets>
  <definedNames>
    <definedName name="_xlnm._FilterDatabase" localSheetId="0" hidden="1">'2016-09-22_Kotton_clusters'!$A$5:$T$5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44" i="2" l="1"/>
  <c r="B41" i="2"/>
  <c r="D24" i="2"/>
  <c r="D13" i="2"/>
  <c r="D1320" i="2"/>
  <c r="C1320" i="2"/>
  <c r="B1320" i="2"/>
  <c r="D1319" i="2"/>
  <c r="C1319" i="2"/>
  <c r="B1319" i="2"/>
  <c r="D1318" i="2"/>
  <c r="C1318" i="2"/>
  <c r="B1318" i="2"/>
  <c r="D1317" i="2"/>
  <c r="C1317" i="2"/>
  <c r="B1317" i="2"/>
  <c r="D1316" i="2"/>
  <c r="C1316" i="2"/>
  <c r="B1316" i="2"/>
  <c r="D1315" i="2"/>
  <c r="C1315" i="2"/>
  <c r="B1315" i="2"/>
  <c r="D1314" i="2"/>
  <c r="C1314" i="2"/>
  <c r="B1314" i="2"/>
  <c r="D1313" i="2"/>
  <c r="C1313" i="2"/>
  <c r="B1313" i="2"/>
  <c r="D1312" i="2"/>
  <c r="C1312" i="2"/>
  <c r="B1312" i="2"/>
  <c r="D1311" i="2"/>
  <c r="C1311" i="2"/>
  <c r="B1311" i="2"/>
  <c r="D1310" i="2"/>
  <c r="C1310" i="2"/>
  <c r="B1310" i="2"/>
  <c r="D1309" i="2"/>
  <c r="C1309" i="2"/>
  <c r="B1309" i="2"/>
  <c r="D1308" i="2"/>
  <c r="C1308" i="2"/>
  <c r="B1308" i="2"/>
  <c r="D1307" i="2"/>
  <c r="C1307" i="2"/>
  <c r="B1307" i="2"/>
  <c r="D1306" i="2"/>
  <c r="C1306" i="2"/>
  <c r="B1306" i="2"/>
  <c r="D1305" i="2"/>
  <c r="C1305" i="2"/>
  <c r="B1305" i="2"/>
  <c r="D1304" i="2"/>
  <c r="C1304" i="2"/>
  <c r="B1304" i="2"/>
  <c r="D1303" i="2"/>
  <c r="C1303" i="2"/>
  <c r="B1303" i="2"/>
  <c r="D1302" i="2"/>
  <c r="C1302" i="2"/>
  <c r="B1302" i="2"/>
  <c r="D1301" i="2"/>
  <c r="C1301" i="2"/>
  <c r="B1301" i="2"/>
  <c r="D1300" i="2"/>
  <c r="C1300" i="2"/>
  <c r="B1300" i="2"/>
  <c r="D1299" i="2"/>
  <c r="C1299" i="2"/>
  <c r="B1299" i="2"/>
  <c r="D1298" i="2"/>
  <c r="C1298" i="2"/>
  <c r="B1298" i="2"/>
  <c r="D1297" i="2"/>
  <c r="C1297" i="2"/>
  <c r="B1297" i="2"/>
  <c r="D1296" i="2"/>
  <c r="C1296" i="2"/>
  <c r="B1296" i="2"/>
  <c r="D1295" i="2"/>
  <c r="C1295" i="2"/>
  <c r="B1295" i="2"/>
  <c r="D1294" i="2"/>
  <c r="C1294" i="2"/>
  <c r="B1294" i="2"/>
  <c r="D1293" i="2"/>
  <c r="C1293" i="2"/>
  <c r="B1293" i="2"/>
  <c r="D1292" i="2"/>
  <c r="C1292" i="2"/>
  <c r="B1292" i="2"/>
  <c r="D1291" i="2"/>
  <c r="C1291" i="2"/>
  <c r="B1291" i="2"/>
  <c r="D1290" i="2"/>
  <c r="C1290" i="2"/>
  <c r="B1290" i="2"/>
  <c r="D1289" i="2"/>
  <c r="C1289" i="2"/>
  <c r="B1289" i="2"/>
  <c r="D1288" i="2"/>
  <c r="C1288" i="2"/>
  <c r="B1288" i="2"/>
  <c r="D1287" i="2"/>
  <c r="C1287" i="2"/>
  <c r="B1287" i="2"/>
  <c r="D1286" i="2"/>
  <c r="C1286" i="2"/>
  <c r="B1286" i="2"/>
  <c r="D1285" i="2"/>
  <c r="C1285" i="2"/>
  <c r="B1285" i="2"/>
  <c r="D1284" i="2"/>
  <c r="C1284" i="2"/>
  <c r="B1284" i="2"/>
  <c r="D1283" i="2"/>
  <c r="C1283" i="2"/>
  <c r="B1283" i="2"/>
  <c r="D1282" i="2"/>
  <c r="C1282" i="2"/>
  <c r="B1282" i="2"/>
  <c r="D1281" i="2"/>
  <c r="C1281" i="2"/>
  <c r="B1281" i="2"/>
  <c r="D1280" i="2"/>
  <c r="C1280" i="2"/>
  <c r="B1280" i="2"/>
  <c r="D1279" i="2"/>
  <c r="C1279" i="2"/>
  <c r="B1279" i="2"/>
  <c r="D1278" i="2"/>
  <c r="C1278" i="2"/>
  <c r="B1278" i="2"/>
  <c r="D1277" i="2"/>
  <c r="C1277" i="2"/>
  <c r="B1277" i="2"/>
  <c r="D1276" i="2"/>
  <c r="C1276" i="2"/>
  <c r="B1276" i="2"/>
  <c r="D1275" i="2"/>
  <c r="C1275" i="2"/>
  <c r="B1275" i="2"/>
  <c r="D1274" i="2"/>
  <c r="C1274" i="2"/>
  <c r="B1274" i="2"/>
  <c r="D1273" i="2"/>
  <c r="C1273" i="2"/>
  <c r="B1273" i="2"/>
  <c r="D1272" i="2"/>
  <c r="C1272" i="2"/>
  <c r="B1272" i="2"/>
  <c r="D1271" i="2"/>
  <c r="C1271" i="2"/>
  <c r="B1271" i="2"/>
  <c r="D1270" i="2"/>
  <c r="C1270" i="2"/>
  <c r="B1270" i="2"/>
  <c r="D1269" i="2"/>
  <c r="C1269" i="2"/>
  <c r="B1269" i="2"/>
  <c r="D1268" i="2"/>
  <c r="C1268" i="2"/>
  <c r="B1268" i="2"/>
  <c r="D1267" i="2"/>
  <c r="C1267" i="2"/>
  <c r="B1267" i="2"/>
  <c r="D1266" i="2"/>
  <c r="C1266" i="2"/>
  <c r="B1266" i="2"/>
  <c r="D1265" i="2"/>
  <c r="C1265" i="2"/>
  <c r="B1265" i="2"/>
  <c r="D1264" i="2"/>
  <c r="C1264" i="2"/>
  <c r="B1264" i="2"/>
  <c r="D1263" i="2"/>
  <c r="C1263" i="2"/>
  <c r="B1263" i="2"/>
  <c r="D1262" i="2"/>
  <c r="C1262" i="2"/>
  <c r="B1262" i="2"/>
  <c r="D1261" i="2"/>
  <c r="C1261" i="2"/>
  <c r="B1261" i="2"/>
  <c r="D1260" i="2"/>
  <c r="C1260" i="2"/>
  <c r="B1260" i="2"/>
  <c r="D1259" i="2"/>
  <c r="C1259" i="2"/>
  <c r="B1259" i="2"/>
  <c r="D1258" i="2"/>
  <c r="C1258" i="2"/>
  <c r="B1258" i="2"/>
  <c r="D1257" i="2"/>
  <c r="C1257" i="2"/>
  <c r="B1257" i="2"/>
  <c r="D1256" i="2"/>
  <c r="C1256" i="2"/>
  <c r="B1256" i="2"/>
  <c r="D1255" i="2"/>
  <c r="C1255" i="2"/>
  <c r="B1255" i="2"/>
  <c r="D1254" i="2"/>
  <c r="C1254" i="2"/>
  <c r="B1254" i="2"/>
  <c r="D1253" i="2"/>
  <c r="C1253" i="2"/>
  <c r="B1253" i="2"/>
  <c r="D1252" i="2"/>
  <c r="C1252" i="2"/>
  <c r="B1252" i="2"/>
  <c r="D1251" i="2"/>
  <c r="C1251" i="2"/>
  <c r="B1251" i="2"/>
  <c r="D1250" i="2"/>
  <c r="C1250" i="2"/>
  <c r="B1250" i="2"/>
  <c r="D1249" i="2"/>
  <c r="C1249" i="2"/>
  <c r="B1249" i="2"/>
  <c r="D1248" i="2"/>
  <c r="C1248" i="2"/>
  <c r="B1248" i="2"/>
  <c r="D1247" i="2"/>
  <c r="C1247" i="2"/>
  <c r="B1247" i="2"/>
  <c r="D1246" i="2"/>
  <c r="C1246" i="2"/>
  <c r="B1246" i="2"/>
  <c r="D1245" i="2"/>
  <c r="C1245" i="2"/>
  <c r="B1245" i="2"/>
  <c r="D1244" i="2"/>
  <c r="C1244" i="2"/>
  <c r="B1244" i="2"/>
  <c r="D1243" i="2"/>
  <c r="C1243" i="2"/>
  <c r="B1243" i="2"/>
  <c r="D1242" i="2"/>
  <c r="C1242" i="2"/>
  <c r="B1242" i="2"/>
  <c r="D1241" i="2"/>
  <c r="C1241" i="2"/>
  <c r="B1241" i="2"/>
  <c r="D1240" i="2"/>
  <c r="C1240" i="2"/>
  <c r="B1240" i="2"/>
  <c r="D1239" i="2"/>
  <c r="C1239" i="2"/>
  <c r="B1239" i="2"/>
  <c r="D1238" i="2"/>
  <c r="C1238" i="2"/>
  <c r="B1238" i="2"/>
  <c r="D1237" i="2"/>
  <c r="C1237" i="2"/>
  <c r="B1237" i="2"/>
  <c r="D1236" i="2"/>
  <c r="C1236" i="2"/>
  <c r="B1236" i="2"/>
  <c r="D1235" i="2"/>
  <c r="C1235" i="2"/>
  <c r="B1235" i="2"/>
  <c r="D1234" i="2"/>
  <c r="C1234" i="2"/>
  <c r="B1234" i="2"/>
  <c r="D1233" i="2"/>
  <c r="C1233" i="2"/>
  <c r="B1233" i="2"/>
  <c r="D1232" i="2"/>
  <c r="C1232" i="2"/>
  <c r="B1232" i="2"/>
  <c r="D1231" i="2"/>
  <c r="C1231" i="2"/>
  <c r="B1231" i="2"/>
  <c r="D1230" i="2"/>
  <c r="C1230" i="2"/>
  <c r="B1230" i="2"/>
  <c r="D1229" i="2"/>
  <c r="C1229" i="2"/>
  <c r="B1229" i="2"/>
  <c r="D1228" i="2"/>
  <c r="C1228" i="2"/>
  <c r="B1228" i="2"/>
  <c r="D1227" i="2"/>
  <c r="C1227" i="2"/>
  <c r="B1227" i="2"/>
  <c r="D1226" i="2"/>
  <c r="C1226" i="2"/>
  <c r="B1226" i="2"/>
  <c r="D1225" i="2"/>
  <c r="C1225" i="2"/>
  <c r="B1225" i="2"/>
  <c r="D1224" i="2"/>
  <c r="C1224" i="2"/>
  <c r="B1224" i="2"/>
  <c r="D1223" i="2"/>
  <c r="C1223" i="2"/>
  <c r="B1223" i="2"/>
  <c r="D1222" i="2"/>
  <c r="C1222" i="2"/>
  <c r="B1222" i="2"/>
  <c r="D1221" i="2"/>
  <c r="C1221" i="2"/>
  <c r="B1221" i="2"/>
  <c r="D1220" i="2"/>
  <c r="C1220" i="2"/>
  <c r="B1220" i="2"/>
  <c r="D1219" i="2"/>
  <c r="C1219" i="2"/>
  <c r="B1219" i="2"/>
  <c r="D1218" i="2"/>
  <c r="C1218" i="2"/>
  <c r="B1218" i="2"/>
  <c r="D1217" i="2"/>
  <c r="C1217" i="2"/>
  <c r="B1217" i="2"/>
  <c r="D1216" i="2"/>
  <c r="C1216" i="2"/>
  <c r="B1216" i="2"/>
  <c r="D1215" i="2"/>
  <c r="C1215" i="2"/>
  <c r="B1215" i="2"/>
  <c r="D1214" i="2"/>
  <c r="C1214" i="2"/>
  <c r="B1214" i="2"/>
  <c r="D1213" i="2"/>
  <c r="C1213" i="2"/>
  <c r="B1213" i="2"/>
  <c r="D1212" i="2"/>
  <c r="C1212" i="2"/>
  <c r="B1212" i="2"/>
  <c r="D1211" i="2"/>
  <c r="C1211" i="2"/>
  <c r="B1211" i="2"/>
  <c r="D1210" i="2"/>
  <c r="C1210" i="2"/>
  <c r="B1210" i="2"/>
  <c r="D1209" i="2"/>
  <c r="C1209" i="2"/>
  <c r="B1209" i="2"/>
  <c r="D1208" i="2"/>
  <c r="C1208" i="2"/>
  <c r="B1208" i="2"/>
  <c r="D1207" i="2"/>
  <c r="C1207" i="2"/>
  <c r="B1207" i="2"/>
  <c r="D1206" i="2"/>
  <c r="C1206" i="2"/>
  <c r="B1206" i="2"/>
  <c r="D1205" i="2"/>
  <c r="C1205" i="2"/>
  <c r="B1205" i="2"/>
  <c r="D1204" i="2"/>
  <c r="C1204" i="2"/>
  <c r="B1204" i="2"/>
  <c r="D1203" i="2"/>
  <c r="C1203" i="2"/>
  <c r="B1203" i="2"/>
  <c r="D1202" i="2"/>
  <c r="C1202" i="2"/>
  <c r="B1202" i="2"/>
  <c r="D1201" i="2"/>
  <c r="C1201" i="2"/>
  <c r="B1201" i="2"/>
  <c r="D1200" i="2"/>
  <c r="C1200" i="2"/>
  <c r="B1200" i="2"/>
  <c r="D1199" i="2"/>
  <c r="C1199" i="2"/>
  <c r="B1199" i="2"/>
  <c r="D1198" i="2"/>
  <c r="C1198" i="2"/>
  <c r="B1198" i="2"/>
  <c r="D1197" i="2"/>
  <c r="C1197" i="2"/>
  <c r="B1197" i="2"/>
  <c r="D1196" i="2"/>
  <c r="C1196" i="2"/>
  <c r="B1196" i="2"/>
  <c r="D1195" i="2"/>
  <c r="C1195" i="2"/>
  <c r="B1195" i="2"/>
  <c r="D1194" i="2"/>
  <c r="C1194" i="2"/>
  <c r="B1194" i="2"/>
  <c r="D1193" i="2"/>
  <c r="C1193" i="2"/>
  <c r="B1193" i="2"/>
  <c r="D1192" i="2"/>
  <c r="C1192" i="2"/>
  <c r="B1192" i="2"/>
  <c r="D1191" i="2"/>
  <c r="C1191" i="2"/>
  <c r="B1191" i="2"/>
  <c r="D1190" i="2"/>
  <c r="C1190" i="2"/>
  <c r="B1190" i="2"/>
  <c r="D1189" i="2"/>
  <c r="C1189" i="2"/>
  <c r="B1189" i="2"/>
  <c r="D1188" i="2"/>
  <c r="C1188" i="2"/>
  <c r="B1188" i="2"/>
  <c r="D1187" i="2"/>
  <c r="C1187" i="2"/>
  <c r="B1187" i="2"/>
  <c r="D1186" i="2"/>
  <c r="C1186" i="2"/>
  <c r="B1186" i="2"/>
  <c r="D1185" i="2"/>
  <c r="C1185" i="2"/>
  <c r="B1185" i="2"/>
  <c r="D1184" i="2"/>
  <c r="C1184" i="2"/>
  <c r="B1184" i="2"/>
  <c r="D1183" i="2"/>
  <c r="C1183" i="2"/>
  <c r="B1183" i="2"/>
  <c r="D1182" i="2"/>
  <c r="C1182" i="2"/>
  <c r="B1182" i="2"/>
  <c r="D1181" i="2"/>
  <c r="C1181" i="2"/>
  <c r="B1181" i="2"/>
  <c r="D1180" i="2"/>
  <c r="C1180" i="2"/>
  <c r="B1180" i="2"/>
  <c r="D1179" i="2"/>
  <c r="C1179" i="2"/>
  <c r="B1179" i="2"/>
  <c r="D1178" i="2"/>
  <c r="C1178" i="2"/>
  <c r="B1178" i="2"/>
  <c r="D1177" i="2"/>
  <c r="C1177" i="2"/>
  <c r="B1177" i="2"/>
  <c r="D1176" i="2"/>
  <c r="C1176" i="2"/>
  <c r="B1176" i="2"/>
  <c r="D1175" i="2"/>
  <c r="C1175" i="2"/>
  <c r="B1175" i="2"/>
  <c r="D1174" i="2"/>
  <c r="C1174" i="2"/>
  <c r="B1174" i="2"/>
  <c r="D1173" i="2"/>
  <c r="C1173" i="2"/>
  <c r="B1173" i="2"/>
  <c r="D1172" i="2"/>
  <c r="C1172" i="2"/>
  <c r="B1172" i="2"/>
  <c r="D1171" i="2"/>
  <c r="C1171" i="2"/>
  <c r="B1171" i="2"/>
  <c r="D1170" i="2"/>
  <c r="C1170" i="2"/>
  <c r="B1170" i="2"/>
  <c r="D1169" i="2"/>
  <c r="C1169" i="2"/>
  <c r="B1169" i="2"/>
  <c r="D1168" i="2"/>
  <c r="C1168" i="2"/>
  <c r="B1168" i="2"/>
  <c r="D1167" i="2"/>
  <c r="C1167" i="2"/>
  <c r="B1167" i="2"/>
  <c r="D1166" i="2"/>
  <c r="C1166" i="2"/>
  <c r="B1166" i="2"/>
  <c r="D1165" i="2"/>
  <c r="C1165" i="2"/>
  <c r="B1165" i="2"/>
  <c r="D1164" i="2"/>
  <c r="C1164" i="2"/>
  <c r="B1164" i="2"/>
  <c r="D1163" i="2"/>
  <c r="C1163" i="2"/>
  <c r="B1163" i="2"/>
  <c r="D1162" i="2"/>
  <c r="C1162" i="2"/>
  <c r="B1162" i="2"/>
  <c r="D1161" i="2"/>
  <c r="C1161" i="2"/>
  <c r="B1161" i="2"/>
  <c r="D1160" i="2"/>
  <c r="C1160" i="2"/>
  <c r="B1160" i="2"/>
  <c r="D1159" i="2"/>
  <c r="C1159" i="2"/>
  <c r="B1159" i="2"/>
  <c r="D1158" i="2"/>
  <c r="C1158" i="2"/>
  <c r="B1158" i="2"/>
  <c r="D1157" i="2"/>
  <c r="C1157" i="2"/>
  <c r="B1157" i="2"/>
  <c r="D1156" i="2"/>
  <c r="C1156" i="2"/>
  <c r="B1156" i="2"/>
  <c r="D1155" i="2"/>
  <c r="C1155" i="2"/>
  <c r="B1155" i="2"/>
  <c r="D1154" i="2"/>
  <c r="C1154" i="2"/>
  <c r="B1154" i="2"/>
  <c r="D1153" i="2"/>
  <c r="C1153" i="2"/>
  <c r="B1153" i="2"/>
  <c r="D1152" i="2"/>
  <c r="C1152" i="2"/>
  <c r="B1152" i="2"/>
  <c r="D1151" i="2"/>
  <c r="C1151" i="2"/>
  <c r="B1151" i="2"/>
  <c r="D1150" i="2"/>
  <c r="C1150" i="2"/>
  <c r="B1150" i="2"/>
  <c r="D1149" i="2"/>
  <c r="C1149" i="2"/>
  <c r="B1149" i="2"/>
  <c r="D1148" i="2"/>
  <c r="C1148" i="2"/>
  <c r="B1148" i="2"/>
  <c r="D1147" i="2"/>
  <c r="C1147" i="2"/>
  <c r="B1147" i="2"/>
  <c r="D1146" i="2"/>
  <c r="C1146" i="2"/>
  <c r="B1146" i="2"/>
  <c r="D1145" i="2"/>
  <c r="C1145" i="2"/>
  <c r="B1145" i="2"/>
  <c r="D1144" i="2"/>
  <c r="C1144" i="2"/>
  <c r="B1144" i="2"/>
  <c r="D1143" i="2"/>
  <c r="C1143" i="2"/>
  <c r="B1143" i="2"/>
  <c r="D1142" i="2"/>
  <c r="C1142" i="2"/>
  <c r="B1142" i="2"/>
  <c r="D1141" i="2"/>
  <c r="C1141" i="2"/>
  <c r="B1141" i="2"/>
  <c r="D1140" i="2"/>
  <c r="C1140" i="2"/>
  <c r="B1140" i="2"/>
  <c r="D1139" i="2"/>
  <c r="C1139" i="2"/>
  <c r="B1139" i="2"/>
  <c r="D1138" i="2"/>
  <c r="C1138" i="2"/>
  <c r="B1138" i="2"/>
  <c r="D1137" i="2"/>
  <c r="C1137" i="2"/>
  <c r="B1137" i="2"/>
  <c r="D1136" i="2"/>
  <c r="C1136" i="2"/>
  <c r="B1136" i="2"/>
  <c r="D1135" i="2"/>
  <c r="C1135" i="2"/>
  <c r="B1135" i="2"/>
  <c r="D1134" i="2"/>
  <c r="C1134" i="2"/>
  <c r="B1134" i="2"/>
  <c r="D1133" i="2"/>
  <c r="C1133" i="2"/>
  <c r="B1133" i="2"/>
  <c r="D1132" i="2"/>
  <c r="C1132" i="2"/>
  <c r="B1132" i="2"/>
  <c r="D1131" i="2"/>
  <c r="C1131" i="2"/>
  <c r="B1131" i="2"/>
  <c r="D1130" i="2"/>
  <c r="C1130" i="2"/>
  <c r="B1130" i="2"/>
  <c r="D1129" i="2"/>
  <c r="C1129" i="2"/>
  <c r="B1129" i="2"/>
  <c r="D1128" i="2"/>
  <c r="C1128" i="2"/>
  <c r="B1128" i="2"/>
  <c r="D1127" i="2"/>
  <c r="C1127" i="2"/>
  <c r="B1127" i="2"/>
  <c r="D1126" i="2"/>
  <c r="C1126" i="2"/>
  <c r="B1126" i="2"/>
  <c r="D1125" i="2"/>
  <c r="C1125" i="2"/>
  <c r="B1125" i="2"/>
  <c r="D1124" i="2"/>
  <c r="C1124" i="2"/>
  <c r="B1124" i="2"/>
  <c r="D1123" i="2"/>
  <c r="C1123" i="2"/>
  <c r="B1123" i="2"/>
  <c r="D1122" i="2"/>
  <c r="C1122" i="2"/>
  <c r="B1122" i="2"/>
  <c r="D1121" i="2"/>
  <c r="C1121" i="2"/>
  <c r="B1121" i="2"/>
  <c r="D1120" i="2"/>
  <c r="C1120" i="2"/>
  <c r="B1120" i="2"/>
  <c r="D1119" i="2"/>
  <c r="C1119" i="2"/>
  <c r="B1119" i="2"/>
  <c r="D1118" i="2"/>
  <c r="C1118" i="2"/>
  <c r="B1118" i="2"/>
  <c r="D1117" i="2"/>
  <c r="C1117" i="2"/>
  <c r="B1117" i="2"/>
  <c r="D1116" i="2"/>
  <c r="C1116" i="2"/>
  <c r="B1116" i="2"/>
  <c r="D1115" i="2"/>
  <c r="C1115" i="2"/>
  <c r="B1115" i="2"/>
  <c r="D1114" i="2"/>
  <c r="C1114" i="2"/>
  <c r="B1114" i="2"/>
  <c r="D1113" i="2"/>
  <c r="C1113" i="2"/>
  <c r="B1113" i="2"/>
  <c r="D1112" i="2"/>
  <c r="C1112" i="2"/>
  <c r="B1112" i="2"/>
  <c r="D1111" i="2"/>
  <c r="C1111" i="2"/>
  <c r="B1111" i="2"/>
  <c r="D1110" i="2"/>
  <c r="C1110" i="2"/>
  <c r="B1110" i="2"/>
  <c r="D1109" i="2"/>
  <c r="C1109" i="2"/>
  <c r="B1109" i="2"/>
  <c r="D1108" i="2"/>
  <c r="C1108" i="2"/>
  <c r="B1108" i="2"/>
  <c r="D1107" i="2"/>
  <c r="C1107" i="2"/>
  <c r="B1107" i="2"/>
  <c r="D1106" i="2"/>
  <c r="C1106" i="2"/>
  <c r="B1106" i="2"/>
  <c r="D1105" i="2"/>
  <c r="C1105" i="2"/>
  <c r="B1105" i="2"/>
  <c r="D1104" i="2"/>
  <c r="C1104" i="2"/>
  <c r="B1104" i="2"/>
  <c r="D1103" i="2"/>
  <c r="C1103" i="2"/>
  <c r="B1103" i="2"/>
  <c r="D1102" i="2"/>
  <c r="C1102" i="2"/>
  <c r="B1102" i="2"/>
  <c r="D1101" i="2"/>
  <c r="C1101" i="2"/>
  <c r="B1101" i="2"/>
  <c r="D1100" i="2"/>
  <c r="C1100" i="2"/>
  <c r="B1100" i="2"/>
  <c r="D1099" i="2"/>
  <c r="C1099" i="2"/>
  <c r="B1099" i="2"/>
  <c r="D1098" i="2"/>
  <c r="C1098" i="2"/>
  <c r="B1098" i="2"/>
  <c r="D1097" i="2"/>
  <c r="C1097" i="2"/>
  <c r="B1097" i="2"/>
  <c r="D1096" i="2"/>
  <c r="C1096" i="2"/>
  <c r="B1096" i="2"/>
  <c r="D1095" i="2"/>
  <c r="C1095" i="2"/>
  <c r="B1095" i="2"/>
  <c r="D1094" i="2"/>
  <c r="C1094" i="2"/>
  <c r="B1094" i="2"/>
  <c r="D1093" i="2"/>
  <c r="C1093" i="2"/>
  <c r="B1093" i="2"/>
  <c r="D1092" i="2"/>
  <c r="C1092" i="2"/>
  <c r="B1092" i="2"/>
  <c r="D1091" i="2"/>
  <c r="C1091" i="2"/>
  <c r="B1091" i="2"/>
  <c r="D1090" i="2"/>
  <c r="C1090" i="2"/>
  <c r="B1090" i="2"/>
  <c r="D1089" i="2"/>
  <c r="C1089" i="2"/>
  <c r="B1089" i="2"/>
  <c r="D1088" i="2"/>
  <c r="C1088" i="2"/>
  <c r="B1088" i="2"/>
  <c r="D1087" i="2"/>
  <c r="C1087" i="2"/>
  <c r="B1087" i="2"/>
  <c r="D1086" i="2"/>
  <c r="C1086" i="2"/>
  <c r="B1086" i="2"/>
  <c r="D1085" i="2"/>
  <c r="C1085" i="2"/>
  <c r="B1085" i="2"/>
  <c r="D1084" i="2"/>
  <c r="C1084" i="2"/>
  <c r="B1084" i="2"/>
  <c r="D1083" i="2"/>
  <c r="C1083" i="2"/>
  <c r="B1083" i="2"/>
  <c r="D1082" i="2"/>
  <c r="C1082" i="2"/>
  <c r="B1082" i="2"/>
  <c r="D1081" i="2"/>
  <c r="C1081" i="2"/>
  <c r="B1081" i="2"/>
  <c r="D1080" i="2"/>
  <c r="C1080" i="2"/>
  <c r="B1080" i="2"/>
  <c r="D1079" i="2"/>
  <c r="C1079" i="2"/>
  <c r="B1079" i="2"/>
  <c r="D1078" i="2"/>
  <c r="C1078" i="2"/>
  <c r="B1078" i="2"/>
  <c r="D1077" i="2"/>
  <c r="C1077" i="2"/>
  <c r="B1077" i="2"/>
  <c r="D1076" i="2"/>
  <c r="C1076" i="2"/>
  <c r="B1076" i="2"/>
  <c r="D1075" i="2"/>
  <c r="C1075" i="2"/>
  <c r="B1075" i="2"/>
  <c r="D1074" i="2"/>
  <c r="C1074" i="2"/>
  <c r="B1074" i="2"/>
  <c r="D1073" i="2"/>
  <c r="C1073" i="2"/>
  <c r="B1073" i="2"/>
  <c r="D1072" i="2"/>
  <c r="C1072" i="2"/>
  <c r="B1072" i="2"/>
  <c r="D1071" i="2"/>
  <c r="C1071" i="2"/>
  <c r="B1071" i="2"/>
  <c r="D1070" i="2"/>
  <c r="C1070" i="2"/>
  <c r="B1070" i="2"/>
  <c r="D1069" i="2"/>
  <c r="C1069" i="2"/>
  <c r="B1069" i="2"/>
  <c r="D1068" i="2"/>
  <c r="C1068" i="2"/>
  <c r="B1068" i="2"/>
  <c r="D1067" i="2"/>
  <c r="C1067" i="2"/>
  <c r="B1067" i="2"/>
  <c r="D1066" i="2"/>
  <c r="C1066" i="2"/>
  <c r="B1066" i="2"/>
  <c r="D1065" i="2"/>
  <c r="C1065" i="2"/>
  <c r="B1065" i="2"/>
  <c r="D1064" i="2"/>
  <c r="C1064" i="2"/>
  <c r="B1064" i="2"/>
  <c r="D1063" i="2"/>
  <c r="C1063" i="2"/>
  <c r="B1063" i="2"/>
  <c r="D1062" i="2"/>
  <c r="C1062" i="2"/>
  <c r="B1062" i="2"/>
  <c r="D1061" i="2"/>
  <c r="C1061" i="2"/>
  <c r="B1061" i="2"/>
  <c r="D1060" i="2"/>
  <c r="C1060" i="2"/>
  <c r="B1060" i="2"/>
  <c r="D1059" i="2"/>
  <c r="C1059" i="2"/>
  <c r="B1059" i="2"/>
  <c r="D1058" i="2"/>
  <c r="C1058" i="2"/>
  <c r="B1058" i="2"/>
  <c r="D1057" i="2"/>
  <c r="C1057" i="2"/>
  <c r="B1057" i="2"/>
  <c r="D1056" i="2"/>
  <c r="C1056" i="2"/>
  <c r="B1056" i="2"/>
  <c r="D1055" i="2"/>
  <c r="C1055" i="2"/>
  <c r="B1055" i="2"/>
  <c r="D1054" i="2"/>
  <c r="C1054" i="2"/>
  <c r="B1054" i="2"/>
  <c r="D1053" i="2"/>
  <c r="C1053" i="2"/>
  <c r="B1053" i="2"/>
  <c r="D1052" i="2"/>
  <c r="C1052" i="2"/>
  <c r="B1052" i="2"/>
  <c r="D1051" i="2"/>
  <c r="C1051" i="2"/>
  <c r="B1051" i="2"/>
  <c r="D1050" i="2"/>
  <c r="C1050" i="2"/>
  <c r="B1050" i="2"/>
  <c r="D1049" i="2"/>
  <c r="C1049" i="2"/>
  <c r="B1049" i="2"/>
  <c r="D1048" i="2"/>
  <c r="C1048" i="2"/>
  <c r="B1048" i="2"/>
  <c r="D1047" i="2"/>
  <c r="C1047" i="2"/>
  <c r="B1047" i="2"/>
  <c r="D1046" i="2"/>
  <c r="C1046" i="2"/>
  <c r="B1046" i="2"/>
  <c r="D1045" i="2"/>
  <c r="C1045" i="2"/>
  <c r="B1045" i="2"/>
  <c r="D1044" i="2"/>
  <c r="C1044" i="2"/>
  <c r="B1044" i="2"/>
  <c r="D1043" i="2"/>
  <c r="C1043" i="2"/>
  <c r="B1043" i="2"/>
  <c r="D1042" i="2"/>
  <c r="C1042" i="2"/>
  <c r="B1042" i="2"/>
  <c r="D1041" i="2"/>
  <c r="C1041" i="2"/>
  <c r="B1041" i="2"/>
  <c r="D1040" i="2"/>
  <c r="C1040" i="2"/>
  <c r="B1040" i="2"/>
  <c r="D1039" i="2"/>
  <c r="C1039" i="2"/>
  <c r="B1039" i="2"/>
  <c r="D1038" i="2"/>
  <c r="C1038" i="2"/>
  <c r="B1038" i="2"/>
  <c r="D1037" i="2"/>
  <c r="C1037" i="2"/>
  <c r="B1037" i="2"/>
  <c r="D1036" i="2"/>
  <c r="C1036" i="2"/>
  <c r="B1036" i="2"/>
  <c r="D1035" i="2"/>
  <c r="C1035" i="2"/>
  <c r="B1035" i="2"/>
  <c r="D1034" i="2"/>
  <c r="C1034" i="2"/>
  <c r="B1034" i="2"/>
  <c r="D1033" i="2"/>
  <c r="C1033" i="2"/>
  <c r="B1033" i="2"/>
  <c r="D1032" i="2"/>
  <c r="C1032" i="2"/>
  <c r="B1032" i="2"/>
  <c r="D1031" i="2"/>
  <c r="C1031" i="2"/>
  <c r="B1031" i="2"/>
  <c r="D1030" i="2"/>
  <c r="C1030" i="2"/>
  <c r="B1030" i="2"/>
  <c r="D1029" i="2"/>
  <c r="C1029" i="2"/>
  <c r="B1029" i="2"/>
  <c r="D1028" i="2"/>
  <c r="C1028" i="2"/>
  <c r="B1028" i="2"/>
  <c r="D1027" i="2"/>
  <c r="C1027" i="2"/>
  <c r="B1027" i="2"/>
  <c r="D1026" i="2"/>
  <c r="C1026" i="2"/>
  <c r="B1026" i="2"/>
  <c r="D1025" i="2"/>
  <c r="C1025" i="2"/>
  <c r="B1025" i="2"/>
  <c r="D1024" i="2"/>
  <c r="C1024" i="2"/>
  <c r="B1024" i="2"/>
  <c r="D1023" i="2"/>
  <c r="C1023" i="2"/>
  <c r="B1023" i="2"/>
  <c r="D1022" i="2"/>
  <c r="C1022" i="2"/>
  <c r="B1022" i="2"/>
  <c r="D1021" i="2"/>
  <c r="C1021" i="2"/>
  <c r="B1021" i="2"/>
  <c r="D1020" i="2"/>
  <c r="C1020" i="2"/>
  <c r="B1020" i="2"/>
  <c r="D1019" i="2"/>
  <c r="C1019" i="2"/>
  <c r="B1019" i="2"/>
  <c r="D1018" i="2"/>
  <c r="C1018" i="2"/>
  <c r="B1018" i="2"/>
  <c r="D1017" i="2"/>
  <c r="C1017" i="2"/>
  <c r="B1017" i="2"/>
  <c r="D1016" i="2"/>
  <c r="C1016" i="2"/>
  <c r="B1016" i="2"/>
  <c r="D1015" i="2"/>
  <c r="C1015" i="2"/>
  <c r="B1015" i="2"/>
  <c r="D1014" i="2"/>
  <c r="C1014" i="2"/>
  <c r="B1014" i="2"/>
  <c r="D1013" i="2"/>
  <c r="C1013" i="2"/>
  <c r="B1013" i="2"/>
  <c r="D1012" i="2"/>
  <c r="C1012" i="2"/>
  <c r="B1012" i="2"/>
  <c r="D1011" i="2"/>
  <c r="C1011" i="2"/>
  <c r="B1011" i="2"/>
  <c r="D1010" i="2"/>
  <c r="C1010" i="2"/>
  <c r="B1010" i="2"/>
  <c r="D1009" i="2"/>
  <c r="C1009" i="2"/>
  <c r="B1009" i="2"/>
  <c r="D1008" i="2"/>
  <c r="C1008" i="2"/>
  <c r="B1008" i="2"/>
  <c r="D1007" i="2"/>
  <c r="C1007" i="2"/>
  <c r="B1007" i="2"/>
  <c r="D1006" i="2"/>
  <c r="C1006" i="2"/>
  <c r="B1006" i="2"/>
  <c r="D1005" i="2"/>
  <c r="C1005" i="2"/>
  <c r="B1005" i="2"/>
  <c r="D1004" i="2"/>
  <c r="C1004" i="2"/>
  <c r="B1004" i="2"/>
  <c r="D1003" i="2"/>
  <c r="C1003" i="2"/>
  <c r="B1003" i="2"/>
  <c r="D1002" i="2"/>
  <c r="C1002" i="2"/>
  <c r="B1002" i="2"/>
  <c r="D1001" i="2"/>
  <c r="C1001" i="2"/>
  <c r="B1001" i="2"/>
  <c r="D1000" i="2"/>
  <c r="C1000" i="2"/>
  <c r="B1000" i="2"/>
  <c r="D999" i="2"/>
  <c r="C999" i="2"/>
  <c r="B999" i="2"/>
  <c r="D998" i="2"/>
  <c r="C998" i="2"/>
  <c r="B998" i="2"/>
  <c r="D997" i="2"/>
  <c r="C997" i="2"/>
  <c r="B997" i="2"/>
  <c r="D996" i="2"/>
  <c r="C996" i="2"/>
  <c r="B996" i="2"/>
  <c r="D995" i="2"/>
  <c r="C995" i="2"/>
  <c r="B995" i="2"/>
  <c r="D994" i="2"/>
  <c r="C994" i="2"/>
  <c r="B994" i="2"/>
  <c r="D993" i="2"/>
  <c r="C993" i="2"/>
  <c r="B993" i="2"/>
  <c r="D992" i="2"/>
  <c r="C992" i="2"/>
  <c r="B992" i="2"/>
  <c r="D991" i="2"/>
  <c r="C991" i="2"/>
  <c r="B991" i="2"/>
  <c r="D990" i="2"/>
  <c r="C990" i="2"/>
  <c r="B990" i="2"/>
  <c r="D989" i="2"/>
  <c r="C989" i="2"/>
  <c r="B989" i="2"/>
  <c r="D988" i="2"/>
  <c r="C988" i="2"/>
  <c r="B988" i="2"/>
  <c r="D987" i="2"/>
  <c r="C987" i="2"/>
  <c r="B987" i="2"/>
  <c r="D986" i="2"/>
  <c r="C986" i="2"/>
  <c r="B986" i="2"/>
  <c r="D985" i="2"/>
  <c r="C985" i="2"/>
  <c r="B985" i="2"/>
  <c r="D984" i="2"/>
  <c r="C984" i="2"/>
  <c r="B984" i="2"/>
  <c r="D983" i="2"/>
  <c r="C983" i="2"/>
  <c r="B983" i="2"/>
  <c r="D982" i="2"/>
  <c r="C982" i="2"/>
  <c r="B982" i="2"/>
  <c r="D981" i="2"/>
  <c r="C981" i="2"/>
  <c r="B981" i="2"/>
  <c r="D980" i="2"/>
  <c r="C980" i="2"/>
  <c r="B980" i="2"/>
  <c r="D979" i="2"/>
  <c r="C979" i="2"/>
  <c r="B979" i="2"/>
  <c r="D978" i="2"/>
  <c r="C978" i="2"/>
  <c r="B978" i="2"/>
  <c r="D977" i="2"/>
  <c r="C977" i="2"/>
  <c r="B977" i="2"/>
  <c r="D976" i="2"/>
  <c r="C976" i="2"/>
  <c r="B976" i="2"/>
  <c r="D975" i="2"/>
  <c r="C975" i="2"/>
  <c r="B975" i="2"/>
  <c r="D974" i="2"/>
  <c r="C974" i="2"/>
  <c r="B974" i="2"/>
  <c r="D973" i="2"/>
  <c r="C973" i="2"/>
  <c r="B973" i="2"/>
  <c r="D972" i="2"/>
  <c r="C972" i="2"/>
  <c r="B972" i="2"/>
  <c r="D971" i="2"/>
  <c r="C971" i="2"/>
  <c r="B971" i="2"/>
  <c r="D970" i="2"/>
  <c r="C970" i="2"/>
  <c r="B970" i="2"/>
  <c r="D969" i="2"/>
  <c r="C969" i="2"/>
  <c r="B969" i="2"/>
  <c r="D968" i="2"/>
  <c r="C968" i="2"/>
  <c r="B968" i="2"/>
  <c r="D967" i="2"/>
  <c r="C967" i="2"/>
  <c r="B967" i="2"/>
  <c r="D966" i="2"/>
  <c r="C966" i="2"/>
  <c r="B966" i="2"/>
  <c r="D965" i="2"/>
  <c r="C965" i="2"/>
  <c r="B965" i="2"/>
  <c r="D964" i="2"/>
  <c r="C964" i="2"/>
  <c r="B964" i="2"/>
  <c r="D963" i="2"/>
  <c r="C963" i="2"/>
  <c r="B963" i="2"/>
  <c r="D962" i="2"/>
  <c r="C962" i="2"/>
  <c r="B962" i="2"/>
  <c r="D961" i="2"/>
  <c r="C961" i="2"/>
  <c r="B961" i="2"/>
  <c r="D960" i="2"/>
  <c r="C960" i="2"/>
  <c r="B960" i="2"/>
  <c r="D959" i="2"/>
  <c r="C959" i="2"/>
  <c r="B959" i="2"/>
  <c r="D958" i="2"/>
  <c r="C958" i="2"/>
  <c r="B958" i="2"/>
  <c r="D957" i="2"/>
  <c r="C957" i="2"/>
  <c r="B957" i="2"/>
  <c r="D956" i="2"/>
  <c r="C956" i="2"/>
  <c r="B956" i="2"/>
  <c r="D955" i="2"/>
  <c r="C955" i="2"/>
  <c r="B955" i="2"/>
  <c r="D954" i="2"/>
  <c r="C954" i="2"/>
  <c r="B954" i="2"/>
  <c r="D953" i="2"/>
  <c r="C953" i="2"/>
  <c r="B953" i="2"/>
  <c r="D952" i="2"/>
  <c r="C952" i="2"/>
  <c r="B952" i="2"/>
  <c r="D951" i="2"/>
  <c r="C951" i="2"/>
  <c r="B951" i="2"/>
  <c r="D950" i="2"/>
  <c r="C950" i="2"/>
  <c r="B950" i="2"/>
  <c r="D949" i="2"/>
  <c r="C949" i="2"/>
  <c r="B949" i="2"/>
  <c r="D948" i="2"/>
  <c r="C948" i="2"/>
  <c r="B948" i="2"/>
  <c r="D947" i="2"/>
  <c r="C947" i="2"/>
  <c r="B947" i="2"/>
  <c r="D946" i="2"/>
  <c r="C946" i="2"/>
  <c r="B946" i="2"/>
  <c r="D945" i="2"/>
  <c r="C945" i="2"/>
  <c r="B945" i="2"/>
  <c r="D944" i="2"/>
  <c r="C944" i="2"/>
  <c r="B944" i="2"/>
  <c r="D943" i="2"/>
  <c r="C943" i="2"/>
  <c r="B943" i="2"/>
  <c r="D942" i="2"/>
  <c r="C942" i="2"/>
  <c r="B942" i="2"/>
  <c r="D941" i="2"/>
  <c r="C941" i="2"/>
  <c r="B941" i="2"/>
  <c r="D940" i="2"/>
  <c r="C940" i="2"/>
  <c r="B940" i="2"/>
  <c r="D939" i="2"/>
  <c r="C939" i="2"/>
  <c r="B939" i="2"/>
  <c r="D938" i="2"/>
  <c r="C938" i="2"/>
  <c r="B938" i="2"/>
  <c r="D937" i="2"/>
  <c r="C937" i="2"/>
  <c r="B937" i="2"/>
  <c r="D936" i="2"/>
  <c r="C936" i="2"/>
  <c r="B936" i="2"/>
  <c r="D935" i="2"/>
  <c r="C935" i="2"/>
  <c r="B935" i="2"/>
  <c r="D934" i="2"/>
  <c r="C934" i="2"/>
  <c r="B934" i="2"/>
  <c r="D933" i="2"/>
  <c r="C933" i="2"/>
  <c r="B933" i="2"/>
  <c r="D932" i="2"/>
  <c r="C932" i="2"/>
  <c r="B932" i="2"/>
  <c r="D931" i="2"/>
  <c r="C931" i="2"/>
  <c r="B931" i="2"/>
  <c r="D930" i="2"/>
  <c r="C930" i="2"/>
  <c r="B930" i="2"/>
  <c r="D929" i="2"/>
  <c r="C929" i="2"/>
  <c r="B929" i="2"/>
  <c r="D928" i="2"/>
  <c r="C928" i="2"/>
  <c r="B928" i="2"/>
  <c r="D927" i="2"/>
  <c r="C927" i="2"/>
  <c r="B927" i="2"/>
  <c r="D926" i="2"/>
  <c r="C926" i="2"/>
  <c r="B926" i="2"/>
  <c r="D925" i="2"/>
  <c r="C925" i="2"/>
  <c r="B925" i="2"/>
  <c r="D924" i="2"/>
  <c r="C924" i="2"/>
  <c r="B924" i="2"/>
  <c r="D923" i="2"/>
  <c r="C923" i="2"/>
  <c r="B923" i="2"/>
  <c r="D922" i="2"/>
  <c r="C922" i="2"/>
  <c r="B922" i="2"/>
  <c r="D921" i="2"/>
  <c r="C921" i="2"/>
  <c r="B921" i="2"/>
  <c r="D920" i="2"/>
  <c r="C920" i="2"/>
  <c r="B920" i="2"/>
  <c r="D919" i="2"/>
  <c r="C919" i="2"/>
  <c r="B919" i="2"/>
  <c r="D918" i="2"/>
  <c r="C918" i="2"/>
  <c r="B918" i="2"/>
  <c r="D917" i="2"/>
  <c r="C917" i="2"/>
  <c r="B917" i="2"/>
  <c r="D916" i="2"/>
  <c r="C916" i="2"/>
  <c r="B916" i="2"/>
  <c r="D915" i="2"/>
  <c r="C915" i="2"/>
  <c r="B915" i="2"/>
  <c r="D914" i="2"/>
  <c r="C914" i="2"/>
  <c r="B914" i="2"/>
  <c r="D913" i="2"/>
  <c r="C913" i="2"/>
  <c r="B913" i="2"/>
  <c r="D912" i="2"/>
  <c r="C912" i="2"/>
  <c r="B912" i="2"/>
  <c r="D911" i="2"/>
  <c r="C911" i="2"/>
  <c r="B911" i="2"/>
  <c r="D910" i="2"/>
  <c r="C910" i="2"/>
  <c r="B910" i="2"/>
  <c r="D909" i="2"/>
  <c r="C909" i="2"/>
  <c r="B909" i="2"/>
  <c r="D908" i="2"/>
  <c r="C908" i="2"/>
  <c r="B908" i="2"/>
  <c r="D907" i="2"/>
  <c r="C907" i="2"/>
  <c r="B907" i="2"/>
  <c r="D906" i="2"/>
  <c r="C906" i="2"/>
  <c r="B906" i="2"/>
  <c r="D905" i="2"/>
  <c r="C905" i="2"/>
  <c r="B905" i="2"/>
  <c r="D904" i="2"/>
  <c r="C904" i="2"/>
  <c r="B904" i="2"/>
  <c r="D903" i="2"/>
  <c r="C903" i="2"/>
  <c r="B903" i="2"/>
  <c r="D902" i="2"/>
  <c r="C902" i="2"/>
  <c r="B902" i="2"/>
  <c r="D901" i="2"/>
  <c r="C901" i="2"/>
  <c r="B901" i="2"/>
  <c r="D900" i="2"/>
  <c r="C900" i="2"/>
  <c r="B900" i="2"/>
  <c r="D899" i="2"/>
  <c r="C899" i="2"/>
  <c r="B899" i="2"/>
  <c r="D898" i="2"/>
  <c r="C898" i="2"/>
  <c r="B898" i="2"/>
  <c r="D897" i="2"/>
  <c r="C897" i="2"/>
  <c r="B897" i="2"/>
  <c r="D896" i="2"/>
  <c r="C896" i="2"/>
  <c r="B896" i="2"/>
  <c r="D895" i="2"/>
  <c r="C895" i="2"/>
  <c r="B895" i="2"/>
  <c r="D894" i="2"/>
  <c r="C894" i="2"/>
  <c r="B894" i="2"/>
  <c r="D893" i="2"/>
  <c r="C893" i="2"/>
  <c r="B893" i="2"/>
  <c r="D892" i="2"/>
  <c r="C892" i="2"/>
  <c r="B892" i="2"/>
  <c r="D891" i="2"/>
  <c r="C891" i="2"/>
  <c r="B891" i="2"/>
  <c r="D890" i="2"/>
  <c r="C890" i="2"/>
  <c r="B890" i="2"/>
  <c r="D889" i="2"/>
  <c r="C889" i="2"/>
  <c r="B889" i="2"/>
  <c r="D888" i="2"/>
  <c r="C888" i="2"/>
  <c r="B888" i="2"/>
  <c r="D887" i="2"/>
  <c r="C887" i="2"/>
  <c r="B887" i="2"/>
  <c r="D886" i="2"/>
  <c r="C886" i="2"/>
  <c r="B886" i="2"/>
  <c r="D885" i="2"/>
  <c r="C885" i="2"/>
  <c r="B885" i="2"/>
  <c r="D884" i="2"/>
  <c r="C884" i="2"/>
  <c r="B884" i="2"/>
  <c r="D883" i="2"/>
  <c r="C883" i="2"/>
  <c r="B883" i="2"/>
  <c r="D882" i="2"/>
  <c r="C882" i="2"/>
  <c r="B882" i="2"/>
  <c r="D881" i="2"/>
  <c r="C881" i="2"/>
  <c r="B881" i="2"/>
  <c r="D880" i="2"/>
  <c r="C880" i="2"/>
  <c r="B880" i="2"/>
  <c r="D879" i="2"/>
  <c r="C879" i="2"/>
  <c r="B879" i="2"/>
  <c r="D878" i="2"/>
  <c r="C878" i="2"/>
  <c r="B878" i="2"/>
  <c r="D877" i="2"/>
  <c r="C877" i="2"/>
  <c r="B877" i="2"/>
  <c r="D876" i="2"/>
  <c r="C876" i="2"/>
  <c r="B876" i="2"/>
  <c r="D875" i="2"/>
  <c r="C875" i="2"/>
  <c r="B875" i="2"/>
  <c r="D874" i="2"/>
  <c r="C874" i="2"/>
  <c r="B874" i="2"/>
  <c r="D873" i="2"/>
  <c r="C873" i="2"/>
  <c r="B873" i="2"/>
  <c r="D872" i="2"/>
  <c r="C872" i="2"/>
  <c r="B872" i="2"/>
  <c r="D871" i="2"/>
  <c r="C871" i="2"/>
  <c r="B871" i="2"/>
  <c r="D870" i="2"/>
  <c r="C870" i="2"/>
  <c r="B870" i="2"/>
  <c r="D869" i="2"/>
  <c r="C869" i="2"/>
  <c r="B869" i="2"/>
  <c r="D868" i="2"/>
  <c r="C868" i="2"/>
  <c r="B868" i="2"/>
  <c r="D867" i="2"/>
  <c r="C867" i="2"/>
  <c r="B867" i="2"/>
  <c r="D866" i="2"/>
  <c r="C866" i="2"/>
  <c r="B866" i="2"/>
  <c r="D865" i="2"/>
  <c r="C865" i="2"/>
  <c r="B865" i="2"/>
  <c r="D864" i="2"/>
  <c r="C864" i="2"/>
  <c r="B864" i="2"/>
  <c r="D863" i="2"/>
  <c r="C863" i="2"/>
  <c r="B863" i="2"/>
  <c r="D862" i="2"/>
  <c r="C862" i="2"/>
  <c r="B862" i="2"/>
  <c r="D861" i="2"/>
  <c r="C861" i="2"/>
  <c r="B861" i="2"/>
  <c r="D860" i="2"/>
  <c r="C860" i="2"/>
  <c r="B860" i="2"/>
  <c r="D859" i="2"/>
  <c r="C859" i="2"/>
  <c r="B859" i="2"/>
  <c r="D858" i="2"/>
  <c r="C858" i="2"/>
  <c r="B858" i="2"/>
  <c r="D857" i="2"/>
  <c r="C857" i="2"/>
  <c r="B857" i="2"/>
  <c r="D856" i="2"/>
  <c r="C856" i="2"/>
  <c r="B856" i="2"/>
  <c r="D855" i="2"/>
  <c r="C855" i="2"/>
  <c r="B855" i="2"/>
  <c r="D854" i="2"/>
  <c r="C854" i="2"/>
  <c r="B854" i="2"/>
  <c r="D853" i="2"/>
  <c r="C853" i="2"/>
  <c r="B853" i="2"/>
  <c r="D852" i="2"/>
  <c r="C852" i="2"/>
  <c r="B852" i="2"/>
  <c r="D851" i="2"/>
  <c r="C851" i="2"/>
  <c r="B851" i="2"/>
  <c r="D850" i="2"/>
  <c r="C850" i="2"/>
  <c r="B850" i="2"/>
  <c r="D849" i="2"/>
  <c r="C849" i="2"/>
  <c r="B849" i="2"/>
  <c r="D848" i="2"/>
  <c r="C848" i="2"/>
  <c r="B848" i="2"/>
  <c r="D847" i="2"/>
  <c r="C847" i="2"/>
  <c r="B847" i="2"/>
  <c r="D846" i="2"/>
  <c r="C846" i="2"/>
  <c r="B846" i="2"/>
  <c r="D845" i="2"/>
  <c r="C845" i="2"/>
  <c r="B845" i="2"/>
  <c r="D844" i="2"/>
  <c r="C844" i="2"/>
  <c r="B844" i="2"/>
  <c r="D843" i="2"/>
  <c r="C843" i="2"/>
  <c r="B843" i="2"/>
  <c r="D842" i="2"/>
  <c r="C842" i="2"/>
  <c r="B842" i="2"/>
  <c r="D841" i="2"/>
  <c r="C841" i="2"/>
  <c r="B841" i="2"/>
  <c r="D840" i="2"/>
  <c r="C840" i="2"/>
  <c r="B840" i="2"/>
  <c r="D839" i="2"/>
  <c r="C839" i="2"/>
  <c r="B839" i="2"/>
  <c r="D838" i="2"/>
  <c r="C838" i="2"/>
  <c r="B838" i="2"/>
  <c r="D837" i="2"/>
  <c r="C837" i="2"/>
  <c r="B837" i="2"/>
  <c r="D836" i="2"/>
  <c r="C836" i="2"/>
  <c r="B836" i="2"/>
  <c r="D835" i="2"/>
  <c r="C835" i="2"/>
  <c r="B835" i="2"/>
  <c r="D834" i="2"/>
  <c r="C834" i="2"/>
  <c r="B834" i="2"/>
  <c r="D833" i="2"/>
  <c r="C833" i="2"/>
  <c r="B833" i="2"/>
  <c r="D832" i="2"/>
  <c r="C832" i="2"/>
  <c r="B832" i="2"/>
  <c r="D831" i="2"/>
  <c r="C831" i="2"/>
  <c r="B831" i="2"/>
  <c r="D830" i="2"/>
  <c r="C830" i="2"/>
  <c r="B830" i="2"/>
  <c r="D829" i="2"/>
  <c r="C829" i="2"/>
  <c r="B829" i="2"/>
  <c r="D828" i="2"/>
  <c r="C828" i="2"/>
  <c r="B828" i="2"/>
  <c r="D827" i="2"/>
  <c r="C827" i="2"/>
  <c r="B827" i="2"/>
  <c r="D826" i="2"/>
  <c r="C826" i="2"/>
  <c r="B826" i="2"/>
  <c r="D825" i="2"/>
  <c r="C825" i="2"/>
  <c r="B825" i="2"/>
  <c r="D824" i="2"/>
  <c r="C824" i="2"/>
  <c r="B824" i="2"/>
  <c r="D823" i="2"/>
  <c r="C823" i="2"/>
  <c r="B823" i="2"/>
  <c r="D822" i="2"/>
  <c r="C822" i="2"/>
  <c r="B822" i="2"/>
  <c r="D821" i="2"/>
  <c r="C821" i="2"/>
  <c r="B821" i="2"/>
  <c r="D820" i="2"/>
  <c r="C820" i="2"/>
  <c r="B820" i="2"/>
  <c r="D819" i="2"/>
  <c r="C819" i="2"/>
  <c r="B819" i="2"/>
  <c r="D818" i="2"/>
  <c r="C818" i="2"/>
  <c r="B818" i="2"/>
  <c r="D817" i="2"/>
  <c r="C817" i="2"/>
  <c r="B817" i="2"/>
  <c r="D816" i="2"/>
  <c r="C816" i="2"/>
  <c r="B816" i="2"/>
  <c r="D815" i="2"/>
  <c r="C815" i="2"/>
  <c r="B815" i="2"/>
  <c r="D814" i="2"/>
  <c r="C814" i="2"/>
  <c r="B814" i="2"/>
  <c r="D813" i="2"/>
  <c r="C813" i="2"/>
  <c r="B813" i="2"/>
  <c r="D812" i="2"/>
  <c r="C812" i="2"/>
  <c r="B812" i="2"/>
  <c r="D811" i="2"/>
  <c r="C811" i="2"/>
  <c r="B811" i="2"/>
  <c r="D810" i="2"/>
  <c r="C810" i="2"/>
  <c r="B810" i="2"/>
  <c r="D809" i="2"/>
  <c r="C809" i="2"/>
  <c r="B809" i="2"/>
  <c r="D808" i="2"/>
  <c r="C808" i="2"/>
  <c r="B808" i="2"/>
  <c r="D807" i="2"/>
  <c r="C807" i="2"/>
  <c r="B807" i="2"/>
  <c r="D806" i="2"/>
  <c r="C806" i="2"/>
  <c r="B806" i="2"/>
  <c r="D805" i="2"/>
  <c r="C805" i="2"/>
  <c r="B805" i="2"/>
  <c r="D804" i="2"/>
  <c r="C804" i="2"/>
  <c r="B804" i="2"/>
  <c r="D803" i="2"/>
  <c r="C803" i="2"/>
  <c r="B803" i="2"/>
  <c r="D802" i="2"/>
  <c r="C802" i="2"/>
  <c r="B802" i="2"/>
  <c r="D801" i="2"/>
  <c r="C801" i="2"/>
  <c r="B801" i="2"/>
  <c r="D800" i="2"/>
  <c r="C800" i="2"/>
  <c r="B800" i="2"/>
  <c r="D799" i="2"/>
  <c r="C799" i="2"/>
  <c r="B799" i="2"/>
  <c r="D798" i="2"/>
  <c r="C798" i="2"/>
  <c r="B798" i="2"/>
  <c r="D797" i="2"/>
  <c r="C797" i="2"/>
  <c r="B797" i="2"/>
  <c r="D796" i="2"/>
  <c r="C796" i="2"/>
  <c r="B796" i="2"/>
  <c r="D795" i="2"/>
  <c r="C795" i="2"/>
  <c r="B795" i="2"/>
  <c r="D794" i="2"/>
  <c r="C794" i="2"/>
  <c r="B794" i="2"/>
  <c r="D793" i="2"/>
  <c r="C793" i="2"/>
  <c r="B793" i="2"/>
  <c r="D792" i="2"/>
  <c r="C792" i="2"/>
  <c r="B792" i="2"/>
  <c r="D791" i="2"/>
  <c r="C791" i="2"/>
  <c r="B791" i="2"/>
  <c r="D790" i="2"/>
  <c r="C790" i="2"/>
  <c r="B790" i="2"/>
  <c r="D789" i="2"/>
  <c r="C789" i="2"/>
  <c r="B789" i="2"/>
  <c r="D788" i="2"/>
  <c r="C788" i="2"/>
  <c r="B788" i="2"/>
  <c r="D787" i="2"/>
  <c r="C787" i="2"/>
  <c r="B787" i="2"/>
  <c r="D786" i="2"/>
  <c r="C786" i="2"/>
  <c r="B786" i="2"/>
  <c r="D785" i="2"/>
  <c r="C785" i="2"/>
  <c r="B785" i="2"/>
  <c r="D784" i="2"/>
  <c r="C784" i="2"/>
  <c r="B784" i="2"/>
  <c r="D783" i="2"/>
  <c r="C783" i="2"/>
  <c r="B783" i="2"/>
  <c r="D782" i="2"/>
  <c r="C782" i="2"/>
  <c r="B782" i="2"/>
  <c r="D781" i="2"/>
  <c r="C781" i="2"/>
  <c r="B781" i="2"/>
  <c r="D780" i="2"/>
  <c r="C780" i="2"/>
  <c r="B780" i="2"/>
  <c r="D779" i="2"/>
  <c r="C779" i="2"/>
  <c r="B779" i="2"/>
  <c r="D778" i="2"/>
  <c r="C778" i="2"/>
  <c r="B778" i="2"/>
  <c r="D777" i="2"/>
  <c r="C777" i="2"/>
  <c r="B777" i="2"/>
  <c r="D776" i="2"/>
  <c r="C776" i="2"/>
  <c r="B776" i="2"/>
  <c r="D775" i="2"/>
  <c r="C775" i="2"/>
  <c r="B775" i="2"/>
  <c r="D774" i="2"/>
  <c r="C774" i="2"/>
  <c r="B774" i="2"/>
  <c r="D773" i="2"/>
  <c r="C773" i="2"/>
  <c r="B773" i="2"/>
  <c r="D772" i="2"/>
  <c r="C772" i="2"/>
  <c r="B772" i="2"/>
  <c r="D771" i="2"/>
  <c r="C771" i="2"/>
  <c r="B771" i="2"/>
  <c r="D770" i="2"/>
  <c r="C770" i="2"/>
  <c r="B770" i="2"/>
  <c r="D769" i="2"/>
  <c r="C769" i="2"/>
  <c r="B769" i="2"/>
  <c r="D768" i="2"/>
  <c r="C768" i="2"/>
  <c r="B768" i="2"/>
  <c r="D767" i="2"/>
  <c r="C767" i="2"/>
  <c r="B767" i="2"/>
  <c r="D766" i="2"/>
  <c r="C766" i="2"/>
  <c r="B766" i="2"/>
  <c r="D765" i="2"/>
  <c r="C765" i="2"/>
  <c r="B765" i="2"/>
  <c r="D764" i="2"/>
  <c r="C764" i="2"/>
  <c r="B764" i="2"/>
  <c r="D763" i="2"/>
  <c r="C763" i="2"/>
  <c r="B763" i="2"/>
  <c r="D762" i="2"/>
  <c r="C762" i="2"/>
  <c r="B762" i="2"/>
  <c r="D761" i="2"/>
  <c r="C761" i="2"/>
  <c r="B761" i="2"/>
  <c r="D760" i="2"/>
  <c r="C760" i="2"/>
  <c r="B760" i="2"/>
  <c r="D759" i="2"/>
  <c r="C759" i="2"/>
  <c r="B759" i="2"/>
  <c r="D758" i="2"/>
  <c r="C758" i="2"/>
  <c r="B758" i="2"/>
  <c r="D757" i="2"/>
  <c r="C757" i="2"/>
  <c r="B757" i="2"/>
  <c r="D756" i="2"/>
  <c r="C756" i="2"/>
  <c r="B756" i="2"/>
  <c r="D755" i="2"/>
  <c r="C755" i="2"/>
  <c r="B755" i="2"/>
  <c r="D754" i="2"/>
  <c r="C754" i="2"/>
  <c r="B754" i="2"/>
  <c r="D753" i="2"/>
  <c r="C753" i="2"/>
  <c r="B753" i="2"/>
  <c r="D752" i="2"/>
  <c r="C752" i="2"/>
  <c r="B752" i="2"/>
  <c r="D751" i="2"/>
  <c r="C751" i="2"/>
  <c r="B751" i="2"/>
  <c r="D750" i="2"/>
  <c r="C750" i="2"/>
  <c r="B750" i="2"/>
  <c r="D749" i="2"/>
  <c r="C749" i="2"/>
  <c r="B749" i="2"/>
  <c r="D748" i="2"/>
  <c r="C748" i="2"/>
  <c r="B748" i="2"/>
  <c r="D747" i="2"/>
  <c r="C747" i="2"/>
  <c r="B747" i="2"/>
  <c r="D746" i="2"/>
  <c r="C746" i="2"/>
  <c r="B746" i="2"/>
  <c r="D745" i="2"/>
  <c r="C745" i="2"/>
  <c r="B745" i="2"/>
  <c r="D744" i="2"/>
  <c r="C744" i="2"/>
  <c r="B744" i="2"/>
  <c r="D743" i="2"/>
  <c r="C743" i="2"/>
  <c r="B743" i="2"/>
  <c r="D742" i="2"/>
  <c r="C742" i="2"/>
  <c r="B742" i="2"/>
  <c r="D741" i="2"/>
  <c r="C741" i="2"/>
  <c r="B741" i="2"/>
  <c r="D740" i="2"/>
  <c r="C740" i="2"/>
  <c r="B740" i="2"/>
  <c r="D739" i="2"/>
  <c r="C739" i="2"/>
  <c r="B739" i="2"/>
  <c r="D738" i="2"/>
  <c r="C738" i="2"/>
  <c r="B738" i="2"/>
  <c r="D737" i="2"/>
  <c r="C737" i="2"/>
  <c r="B737" i="2"/>
  <c r="D736" i="2"/>
  <c r="C736" i="2"/>
  <c r="B736" i="2"/>
  <c r="D735" i="2"/>
  <c r="C735" i="2"/>
  <c r="B735" i="2"/>
  <c r="D734" i="2"/>
  <c r="C734" i="2"/>
  <c r="B734" i="2"/>
  <c r="D733" i="2"/>
  <c r="C733" i="2"/>
  <c r="B733" i="2"/>
  <c r="D732" i="2"/>
  <c r="C732" i="2"/>
  <c r="B732" i="2"/>
  <c r="D731" i="2"/>
  <c r="C731" i="2"/>
  <c r="B731" i="2"/>
  <c r="D730" i="2"/>
  <c r="C730" i="2"/>
  <c r="B730" i="2"/>
  <c r="D729" i="2"/>
  <c r="C729" i="2"/>
  <c r="B729" i="2"/>
  <c r="D728" i="2"/>
  <c r="C728" i="2"/>
  <c r="B728" i="2"/>
  <c r="D727" i="2"/>
  <c r="C727" i="2"/>
  <c r="B727" i="2"/>
  <c r="D726" i="2"/>
  <c r="C726" i="2"/>
  <c r="B726" i="2"/>
  <c r="D725" i="2"/>
  <c r="C725" i="2"/>
  <c r="B725" i="2"/>
  <c r="D724" i="2"/>
  <c r="C724" i="2"/>
  <c r="B724" i="2"/>
  <c r="D723" i="2"/>
  <c r="C723" i="2"/>
  <c r="B723" i="2"/>
  <c r="D722" i="2"/>
  <c r="C722" i="2"/>
  <c r="B722" i="2"/>
  <c r="D721" i="2"/>
  <c r="C721" i="2"/>
  <c r="B721" i="2"/>
  <c r="D720" i="2"/>
  <c r="C720" i="2"/>
  <c r="B720" i="2"/>
  <c r="D719" i="2"/>
  <c r="C719" i="2"/>
  <c r="B719" i="2"/>
  <c r="D718" i="2"/>
  <c r="C718" i="2"/>
  <c r="B718" i="2"/>
  <c r="D717" i="2"/>
  <c r="C717" i="2"/>
  <c r="B717" i="2"/>
  <c r="D716" i="2"/>
  <c r="C716" i="2"/>
  <c r="B716" i="2"/>
  <c r="D715" i="2"/>
  <c r="C715" i="2"/>
  <c r="B715" i="2"/>
  <c r="D714" i="2"/>
  <c r="C714" i="2"/>
  <c r="B714" i="2"/>
  <c r="D713" i="2"/>
  <c r="C713" i="2"/>
  <c r="B713" i="2"/>
  <c r="D712" i="2"/>
  <c r="C712" i="2"/>
  <c r="B712" i="2"/>
  <c r="D711" i="2"/>
  <c r="C711" i="2"/>
  <c r="B711" i="2"/>
  <c r="D710" i="2"/>
  <c r="C710" i="2"/>
  <c r="B710" i="2"/>
  <c r="D709" i="2"/>
  <c r="C709" i="2"/>
  <c r="B709" i="2"/>
  <c r="D708" i="2"/>
  <c r="C708" i="2"/>
  <c r="B708" i="2"/>
  <c r="D707" i="2"/>
  <c r="C707" i="2"/>
  <c r="B707" i="2"/>
  <c r="D706" i="2"/>
  <c r="C706" i="2"/>
  <c r="B706" i="2"/>
  <c r="D705" i="2"/>
  <c r="C705" i="2"/>
  <c r="B705" i="2"/>
  <c r="D704" i="2"/>
  <c r="C704" i="2"/>
  <c r="B704" i="2"/>
  <c r="D703" i="2"/>
  <c r="C703" i="2"/>
  <c r="B703" i="2"/>
  <c r="D702" i="2"/>
  <c r="C702" i="2"/>
  <c r="B702" i="2"/>
  <c r="D701" i="2"/>
  <c r="C701" i="2"/>
  <c r="B701" i="2"/>
  <c r="D700" i="2"/>
  <c r="C700" i="2"/>
  <c r="B700" i="2"/>
  <c r="D699" i="2"/>
  <c r="C699" i="2"/>
  <c r="B699" i="2"/>
  <c r="D698" i="2"/>
  <c r="C698" i="2"/>
  <c r="B698" i="2"/>
  <c r="D697" i="2"/>
  <c r="C697" i="2"/>
  <c r="B697" i="2"/>
  <c r="D696" i="2"/>
  <c r="C696" i="2"/>
  <c r="B696" i="2"/>
  <c r="D695" i="2"/>
  <c r="C695" i="2"/>
  <c r="B695" i="2"/>
  <c r="D694" i="2"/>
  <c r="C694" i="2"/>
  <c r="B694" i="2"/>
  <c r="D693" i="2"/>
  <c r="C693" i="2"/>
  <c r="B693" i="2"/>
  <c r="D692" i="2"/>
  <c r="C692" i="2"/>
  <c r="B692" i="2"/>
  <c r="D691" i="2"/>
  <c r="C691" i="2"/>
  <c r="B691" i="2"/>
  <c r="D690" i="2"/>
  <c r="C690" i="2"/>
  <c r="B690" i="2"/>
  <c r="D689" i="2"/>
  <c r="C689" i="2"/>
  <c r="B689" i="2"/>
  <c r="D688" i="2"/>
  <c r="C688" i="2"/>
  <c r="B688" i="2"/>
  <c r="D687" i="2"/>
  <c r="C687" i="2"/>
  <c r="B687" i="2"/>
  <c r="D686" i="2"/>
  <c r="C686" i="2"/>
  <c r="B686" i="2"/>
  <c r="D685" i="2"/>
  <c r="C685" i="2"/>
  <c r="B685" i="2"/>
  <c r="D684" i="2"/>
  <c r="C684" i="2"/>
  <c r="B684" i="2"/>
  <c r="D683" i="2"/>
  <c r="C683" i="2"/>
  <c r="B683" i="2"/>
  <c r="D682" i="2"/>
  <c r="C682" i="2"/>
  <c r="B682" i="2"/>
  <c r="D681" i="2"/>
  <c r="C681" i="2"/>
  <c r="B681" i="2"/>
  <c r="D680" i="2"/>
  <c r="C680" i="2"/>
  <c r="B680" i="2"/>
  <c r="D679" i="2"/>
  <c r="C679" i="2"/>
  <c r="B679" i="2"/>
  <c r="D678" i="2"/>
  <c r="C678" i="2"/>
  <c r="B678" i="2"/>
  <c r="D677" i="2"/>
  <c r="C677" i="2"/>
  <c r="B677" i="2"/>
  <c r="D676" i="2"/>
  <c r="C676" i="2"/>
  <c r="B676" i="2"/>
  <c r="D675" i="2"/>
  <c r="C675" i="2"/>
  <c r="B675" i="2"/>
  <c r="D674" i="2"/>
  <c r="C674" i="2"/>
  <c r="B674" i="2"/>
  <c r="D673" i="2"/>
  <c r="C673" i="2"/>
  <c r="B673" i="2"/>
  <c r="D672" i="2"/>
  <c r="C672" i="2"/>
  <c r="B672" i="2"/>
  <c r="D671" i="2"/>
  <c r="C671" i="2"/>
  <c r="B671" i="2"/>
  <c r="D670" i="2"/>
  <c r="C670" i="2"/>
  <c r="B670" i="2"/>
  <c r="D669" i="2"/>
  <c r="C669" i="2"/>
  <c r="B669" i="2"/>
  <c r="D668" i="2"/>
  <c r="C668" i="2"/>
  <c r="B668" i="2"/>
  <c r="D667" i="2"/>
  <c r="C667" i="2"/>
  <c r="B667" i="2"/>
  <c r="D666" i="2"/>
  <c r="C666" i="2"/>
  <c r="B666" i="2"/>
  <c r="D665" i="2"/>
  <c r="C665" i="2"/>
  <c r="B665" i="2"/>
  <c r="D664" i="2"/>
  <c r="C664" i="2"/>
  <c r="B664" i="2"/>
  <c r="D663" i="2"/>
  <c r="C663" i="2"/>
  <c r="B663" i="2"/>
  <c r="D662" i="2"/>
  <c r="C662" i="2"/>
  <c r="B662" i="2"/>
  <c r="D661" i="2"/>
  <c r="C661" i="2"/>
  <c r="B661" i="2"/>
  <c r="D660" i="2"/>
  <c r="C660" i="2"/>
  <c r="B660" i="2"/>
  <c r="D659" i="2"/>
  <c r="C659" i="2"/>
  <c r="B659" i="2"/>
  <c r="D658" i="2"/>
  <c r="C658" i="2"/>
  <c r="B658" i="2"/>
  <c r="D657" i="2"/>
  <c r="C657" i="2"/>
  <c r="B657" i="2"/>
  <c r="D656" i="2"/>
  <c r="C656" i="2"/>
  <c r="B656" i="2"/>
  <c r="D655" i="2"/>
  <c r="C655" i="2"/>
  <c r="B655" i="2"/>
  <c r="D654" i="2"/>
  <c r="C654" i="2"/>
  <c r="B654" i="2"/>
  <c r="D653" i="2"/>
  <c r="C653" i="2"/>
  <c r="B653" i="2"/>
  <c r="D652" i="2"/>
  <c r="C652" i="2"/>
  <c r="B652" i="2"/>
  <c r="D651" i="2"/>
  <c r="C651" i="2"/>
  <c r="B651" i="2"/>
  <c r="D650" i="2"/>
  <c r="C650" i="2"/>
  <c r="B650" i="2"/>
  <c r="D649" i="2"/>
  <c r="C649" i="2"/>
  <c r="B649" i="2"/>
  <c r="D648" i="2"/>
  <c r="C648" i="2"/>
  <c r="B648" i="2"/>
  <c r="D647" i="2"/>
  <c r="C647" i="2"/>
  <c r="B647" i="2"/>
  <c r="D646" i="2"/>
  <c r="C646" i="2"/>
  <c r="B646" i="2"/>
  <c r="D645" i="2"/>
  <c r="C645" i="2"/>
  <c r="B645" i="2"/>
  <c r="D644" i="2"/>
  <c r="C644" i="2"/>
  <c r="B644" i="2"/>
  <c r="D643" i="2"/>
  <c r="C643" i="2"/>
  <c r="B643" i="2"/>
  <c r="D642" i="2"/>
  <c r="C642" i="2"/>
  <c r="B642" i="2"/>
  <c r="D641" i="2"/>
  <c r="C641" i="2"/>
  <c r="B641" i="2"/>
  <c r="D640" i="2"/>
  <c r="C640" i="2"/>
  <c r="B640" i="2"/>
  <c r="D639" i="2"/>
  <c r="C639" i="2"/>
  <c r="B639" i="2"/>
  <c r="D638" i="2"/>
  <c r="C638" i="2"/>
  <c r="B638" i="2"/>
  <c r="D637" i="2"/>
  <c r="C637" i="2"/>
  <c r="B637" i="2"/>
  <c r="D636" i="2"/>
  <c r="C636" i="2"/>
  <c r="B636" i="2"/>
  <c r="D635" i="2"/>
  <c r="C635" i="2"/>
  <c r="B635" i="2"/>
  <c r="D634" i="2"/>
  <c r="C634" i="2"/>
  <c r="B634" i="2"/>
  <c r="D633" i="2"/>
  <c r="C633" i="2"/>
  <c r="B633" i="2"/>
  <c r="D632" i="2"/>
  <c r="C632" i="2"/>
  <c r="B632" i="2"/>
  <c r="D631" i="2"/>
  <c r="C631" i="2"/>
  <c r="B631" i="2"/>
  <c r="D630" i="2"/>
  <c r="C630" i="2"/>
  <c r="B630" i="2"/>
  <c r="D629" i="2"/>
  <c r="C629" i="2"/>
  <c r="B629" i="2"/>
  <c r="D628" i="2"/>
  <c r="C628" i="2"/>
  <c r="B628" i="2"/>
  <c r="D627" i="2"/>
  <c r="C627" i="2"/>
  <c r="B627" i="2"/>
  <c r="D626" i="2"/>
  <c r="C626" i="2"/>
  <c r="B626" i="2"/>
  <c r="D625" i="2"/>
  <c r="C625" i="2"/>
  <c r="B625" i="2"/>
  <c r="D624" i="2"/>
  <c r="C624" i="2"/>
  <c r="B624" i="2"/>
  <c r="D623" i="2"/>
  <c r="C623" i="2"/>
  <c r="B623" i="2"/>
  <c r="D622" i="2"/>
  <c r="C622" i="2"/>
  <c r="B622" i="2"/>
  <c r="D621" i="2"/>
  <c r="C621" i="2"/>
  <c r="B621" i="2"/>
  <c r="D620" i="2"/>
  <c r="C620" i="2"/>
  <c r="B620" i="2"/>
  <c r="D619" i="2"/>
  <c r="C619" i="2"/>
  <c r="B619" i="2"/>
  <c r="D618" i="2"/>
  <c r="C618" i="2"/>
  <c r="B618" i="2"/>
  <c r="D617" i="2"/>
  <c r="C617" i="2"/>
  <c r="B617" i="2"/>
  <c r="D616" i="2"/>
  <c r="C616" i="2"/>
  <c r="B616" i="2"/>
  <c r="D615" i="2"/>
  <c r="C615" i="2"/>
  <c r="B615" i="2"/>
  <c r="D614" i="2"/>
  <c r="C614" i="2"/>
  <c r="B614" i="2"/>
  <c r="D613" i="2"/>
  <c r="C613" i="2"/>
  <c r="B613" i="2"/>
  <c r="D612" i="2"/>
  <c r="C612" i="2"/>
  <c r="B612" i="2"/>
  <c r="D611" i="2"/>
  <c r="C611" i="2"/>
  <c r="B611" i="2"/>
  <c r="D610" i="2"/>
  <c r="C610" i="2"/>
  <c r="B610" i="2"/>
  <c r="D609" i="2"/>
  <c r="C609" i="2"/>
  <c r="B609" i="2"/>
  <c r="D608" i="2"/>
  <c r="C608" i="2"/>
  <c r="B608" i="2"/>
  <c r="D607" i="2"/>
  <c r="C607" i="2"/>
  <c r="B607" i="2"/>
  <c r="D606" i="2"/>
  <c r="C606" i="2"/>
  <c r="B606" i="2"/>
  <c r="D605" i="2"/>
  <c r="C605" i="2"/>
  <c r="B605" i="2"/>
  <c r="D604" i="2"/>
  <c r="C604" i="2"/>
  <c r="B604" i="2"/>
  <c r="D603" i="2"/>
  <c r="C603" i="2"/>
  <c r="B603" i="2"/>
  <c r="D602" i="2"/>
  <c r="C602" i="2"/>
  <c r="B602" i="2"/>
  <c r="D601" i="2"/>
  <c r="C601" i="2"/>
  <c r="B601" i="2"/>
  <c r="D600" i="2"/>
  <c r="C600" i="2"/>
  <c r="B600" i="2"/>
  <c r="D599" i="2"/>
  <c r="C599" i="2"/>
  <c r="B599" i="2"/>
  <c r="D598" i="2"/>
  <c r="C598" i="2"/>
  <c r="B598" i="2"/>
  <c r="D597" i="2"/>
  <c r="C597" i="2"/>
  <c r="B597" i="2"/>
  <c r="D596" i="2"/>
  <c r="C596" i="2"/>
  <c r="B596" i="2"/>
  <c r="D595" i="2"/>
  <c r="C595" i="2"/>
  <c r="B595" i="2"/>
  <c r="D594" i="2"/>
  <c r="C594" i="2"/>
  <c r="B594" i="2"/>
  <c r="D593" i="2"/>
  <c r="C593" i="2"/>
  <c r="B593" i="2"/>
  <c r="D592" i="2"/>
  <c r="C592" i="2"/>
  <c r="B592" i="2"/>
  <c r="D591" i="2"/>
  <c r="C591" i="2"/>
  <c r="B591" i="2"/>
  <c r="D590" i="2"/>
  <c r="C590" i="2"/>
  <c r="B590" i="2"/>
  <c r="D589" i="2"/>
  <c r="C589" i="2"/>
  <c r="B589" i="2"/>
  <c r="D588" i="2"/>
  <c r="C588" i="2"/>
  <c r="B588" i="2"/>
  <c r="D587" i="2"/>
  <c r="C587" i="2"/>
  <c r="B587" i="2"/>
  <c r="D586" i="2"/>
  <c r="C586" i="2"/>
  <c r="B586" i="2"/>
  <c r="D585" i="2"/>
  <c r="C585" i="2"/>
  <c r="B585" i="2"/>
  <c r="D584" i="2"/>
  <c r="C584" i="2"/>
  <c r="B584" i="2"/>
  <c r="D583" i="2"/>
  <c r="C583" i="2"/>
  <c r="B583" i="2"/>
  <c r="D582" i="2"/>
  <c r="C582" i="2"/>
  <c r="B582" i="2"/>
  <c r="D581" i="2"/>
  <c r="C581" i="2"/>
  <c r="B581" i="2"/>
  <c r="D580" i="2"/>
  <c r="C580" i="2"/>
  <c r="B580" i="2"/>
  <c r="D579" i="2"/>
  <c r="C579" i="2"/>
  <c r="B579" i="2"/>
  <c r="D578" i="2"/>
  <c r="C578" i="2"/>
  <c r="B578" i="2"/>
  <c r="D577" i="2"/>
  <c r="C577" i="2"/>
  <c r="B577" i="2"/>
  <c r="D576" i="2"/>
  <c r="C576" i="2"/>
  <c r="B576" i="2"/>
  <c r="D575" i="2"/>
  <c r="C575" i="2"/>
  <c r="B575" i="2"/>
  <c r="D574" i="2"/>
  <c r="C574" i="2"/>
  <c r="B574" i="2"/>
  <c r="D573" i="2"/>
  <c r="C573" i="2"/>
  <c r="B573" i="2"/>
  <c r="D572" i="2"/>
  <c r="C572" i="2"/>
  <c r="B572" i="2"/>
  <c r="D571" i="2"/>
  <c r="C571" i="2"/>
  <c r="B571" i="2"/>
  <c r="D570" i="2"/>
  <c r="C570" i="2"/>
  <c r="B570" i="2"/>
  <c r="D569" i="2"/>
  <c r="C569" i="2"/>
  <c r="B569" i="2"/>
  <c r="D568" i="2"/>
  <c r="C568" i="2"/>
  <c r="B568" i="2"/>
  <c r="D567" i="2"/>
  <c r="C567" i="2"/>
  <c r="B567" i="2"/>
  <c r="D566" i="2"/>
  <c r="C566" i="2"/>
  <c r="B566" i="2"/>
  <c r="D565" i="2"/>
  <c r="C565" i="2"/>
  <c r="B565" i="2"/>
  <c r="D564" i="2"/>
  <c r="C564" i="2"/>
  <c r="B564" i="2"/>
  <c r="D563" i="2"/>
  <c r="C563" i="2"/>
  <c r="B563" i="2"/>
  <c r="D562" i="2"/>
  <c r="C562" i="2"/>
  <c r="B562" i="2"/>
  <c r="D561" i="2"/>
  <c r="C561" i="2"/>
  <c r="B561" i="2"/>
  <c r="D560" i="2"/>
  <c r="C560" i="2"/>
  <c r="B560" i="2"/>
  <c r="D559" i="2"/>
  <c r="C559" i="2"/>
  <c r="B559" i="2"/>
  <c r="D558" i="2"/>
  <c r="C558" i="2"/>
  <c r="B558" i="2"/>
  <c r="D557" i="2"/>
  <c r="C557" i="2"/>
  <c r="B557" i="2"/>
  <c r="D556" i="2"/>
  <c r="C556" i="2"/>
  <c r="B556" i="2"/>
  <c r="D555" i="2"/>
  <c r="C555" i="2"/>
  <c r="B555" i="2"/>
  <c r="D554" i="2"/>
  <c r="C554" i="2"/>
  <c r="B554" i="2"/>
  <c r="D553" i="2"/>
  <c r="C553" i="2"/>
  <c r="B553" i="2"/>
  <c r="D552" i="2"/>
  <c r="C552" i="2"/>
  <c r="B552" i="2"/>
  <c r="D551" i="2"/>
  <c r="C551" i="2"/>
  <c r="B551" i="2"/>
  <c r="D550" i="2"/>
  <c r="C550" i="2"/>
  <c r="B550" i="2"/>
  <c r="D549" i="2"/>
  <c r="C549" i="2"/>
  <c r="B549" i="2"/>
  <c r="D548" i="2"/>
  <c r="C548" i="2"/>
  <c r="B548" i="2"/>
  <c r="D547" i="2"/>
  <c r="C547" i="2"/>
  <c r="B547" i="2"/>
  <c r="D546" i="2"/>
  <c r="C546" i="2"/>
  <c r="B546" i="2"/>
  <c r="D545" i="2"/>
  <c r="C545" i="2"/>
  <c r="B545" i="2"/>
  <c r="D544" i="2"/>
  <c r="C544" i="2"/>
  <c r="B544" i="2"/>
  <c r="D543" i="2"/>
  <c r="C543" i="2"/>
  <c r="B543" i="2"/>
  <c r="D542" i="2"/>
  <c r="C542" i="2"/>
  <c r="B542" i="2"/>
  <c r="D541" i="2"/>
  <c r="C541" i="2"/>
  <c r="B541" i="2"/>
  <c r="D540" i="2"/>
  <c r="C540" i="2"/>
  <c r="B540" i="2"/>
  <c r="D539" i="2"/>
  <c r="C539" i="2"/>
  <c r="B539" i="2"/>
  <c r="D538" i="2"/>
  <c r="C538" i="2"/>
  <c r="B538" i="2"/>
  <c r="D537" i="2"/>
  <c r="C537" i="2"/>
  <c r="B537" i="2"/>
  <c r="D536" i="2"/>
  <c r="C536" i="2"/>
  <c r="B536" i="2"/>
  <c r="D535" i="2"/>
  <c r="C535" i="2"/>
  <c r="B535" i="2"/>
  <c r="D534" i="2"/>
  <c r="C534" i="2"/>
  <c r="B534" i="2"/>
  <c r="D533" i="2"/>
  <c r="C533" i="2"/>
  <c r="B533" i="2"/>
  <c r="D532" i="2"/>
  <c r="C532" i="2"/>
  <c r="B532" i="2"/>
  <c r="D531" i="2"/>
  <c r="C531" i="2"/>
  <c r="B531" i="2"/>
  <c r="D530" i="2"/>
  <c r="C530" i="2"/>
  <c r="B530" i="2"/>
  <c r="D529" i="2"/>
  <c r="C529" i="2"/>
  <c r="B529" i="2"/>
  <c r="D528" i="2"/>
  <c r="C528" i="2"/>
  <c r="B528" i="2"/>
  <c r="D527" i="2"/>
  <c r="C527" i="2"/>
  <c r="B527" i="2"/>
  <c r="D526" i="2"/>
  <c r="C526" i="2"/>
  <c r="B526" i="2"/>
  <c r="D525" i="2"/>
  <c r="C525" i="2"/>
  <c r="B525" i="2"/>
  <c r="D524" i="2"/>
  <c r="C524" i="2"/>
  <c r="B524" i="2"/>
  <c r="D523" i="2"/>
  <c r="C523" i="2"/>
  <c r="B523" i="2"/>
  <c r="D522" i="2"/>
  <c r="C522" i="2"/>
  <c r="B522" i="2"/>
  <c r="D521" i="2"/>
  <c r="C521" i="2"/>
  <c r="B521" i="2"/>
  <c r="D520" i="2"/>
  <c r="C520" i="2"/>
  <c r="B520" i="2"/>
  <c r="D519" i="2"/>
  <c r="C519" i="2"/>
  <c r="B519" i="2"/>
  <c r="D518" i="2"/>
  <c r="C518" i="2"/>
  <c r="B518" i="2"/>
  <c r="D517" i="2"/>
  <c r="C517" i="2"/>
  <c r="B517" i="2"/>
  <c r="D516" i="2"/>
  <c r="C516" i="2"/>
  <c r="B516" i="2"/>
  <c r="D515" i="2"/>
  <c r="C515" i="2"/>
  <c r="B515" i="2"/>
  <c r="D514" i="2"/>
  <c r="C514" i="2"/>
  <c r="B514" i="2"/>
  <c r="D513" i="2"/>
  <c r="C513" i="2"/>
  <c r="B513" i="2"/>
  <c r="D512" i="2"/>
  <c r="C512" i="2"/>
  <c r="B512" i="2"/>
  <c r="D511" i="2"/>
  <c r="C511" i="2"/>
  <c r="B511" i="2"/>
  <c r="D510" i="2"/>
  <c r="C510" i="2"/>
  <c r="B510" i="2"/>
  <c r="D509" i="2"/>
  <c r="C509" i="2"/>
  <c r="B509" i="2"/>
  <c r="D508" i="2"/>
  <c r="C508" i="2"/>
  <c r="B508" i="2"/>
  <c r="D507" i="2"/>
  <c r="C507" i="2"/>
  <c r="B507" i="2"/>
  <c r="D506" i="2"/>
  <c r="C506" i="2"/>
  <c r="B506" i="2"/>
  <c r="D505" i="2"/>
  <c r="C505" i="2"/>
  <c r="B505" i="2"/>
  <c r="D504" i="2"/>
  <c r="C504" i="2"/>
  <c r="B504" i="2"/>
  <c r="D503" i="2"/>
  <c r="C503" i="2"/>
  <c r="B503" i="2"/>
  <c r="D502" i="2"/>
  <c r="C502" i="2"/>
  <c r="B502" i="2"/>
  <c r="D501" i="2"/>
  <c r="C501" i="2"/>
  <c r="B501" i="2"/>
  <c r="D500" i="2"/>
  <c r="C500" i="2"/>
  <c r="B500" i="2"/>
  <c r="D499" i="2"/>
  <c r="C499" i="2"/>
  <c r="B499" i="2"/>
  <c r="D498" i="2"/>
  <c r="C498" i="2"/>
  <c r="B498" i="2"/>
  <c r="D497" i="2"/>
  <c r="C497" i="2"/>
  <c r="B497" i="2"/>
  <c r="D496" i="2"/>
  <c r="C496" i="2"/>
  <c r="B496" i="2"/>
  <c r="D495" i="2"/>
  <c r="C495" i="2"/>
  <c r="B495" i="2"/>
  <c r="D494" i="2"/>
  <c r="C494" i="2"/>
  <c r="B494" i="2"/>
  <c r="D493" i="2"/>
  <c r="C493" i="2"/>
  <c r="B493" i="2"/>
  <c r="D492" i="2"/>
  <c r="C492" i="2"/>
  <c r="B492" i="2"/>
  <c r="D491" i="2"/>
  <c r="C491" i="2"/>
  <c r="B491" i="2"/>
  <c r="D490" i="2"/>
  <c r="C490" i="2"/>
  <c r="B490" i="2"/>
  <c r="D489" i="2"/>
  <c r="C489" i="2"/>
  <c r="B489" i="2"/>
  <c r="D488" i="2"/>
  <c r="C488" i="2"/>
  <c r="B488" i="2"/>
  <c r="D487" i="2"/>
  <c r="C487" i="2"/>
  <c r="B487" i="2"/>
  <c r="D486" i="2"/>
  <c r="C486" i="2"/>
  <c r="B486" i="2"/>
  <c r="D485" i="2"/>
  <c r="C485" i="2"/>
  <c r="B485" i="2"/>
  <c r="D484" i="2"/>
  <c r="C484" i="2"/>
  <c r="B484" i="2"/>
  <c r="D483" i="2"/>
  <c r="C483" i="2"/>
  <c r="B483" i="2"/>
  <c r="D482" i="2"/>
  <c r="C482" i="2"/>
  <c r="B482" i="2"/>
  <c r="D481" i="2"/>
  <c r="C481" i="2"/>
  <c r="B481" i="2"/>
  <c r="D480" i="2"/>
  <c r="C480" i="2"/>
  <c r="B480" i="2"/>
  <c r="D479" i="2"/>
  <c r="C479" i="2"/>
  <c r="B479" i="2"/>
  <c r="D478" i="2"/>
  <c r="C478" i="2"/>
  <c r="B478" i="2"/>
  <c r="D477" i="2"/>
  <c r="C477" i="2"/>
  <c r="B477" i="2"/>
  <c r="D476" i="2"/>
  <c r="C476" i="2"/>
  <c r="B476" i="2"/>
  <c r="D475" i="2"/>
  <c r="C475" i="2"/>
  <c r="B475" i="2"/>
  <c r="D474" i="2"/>
  <c r="C474" i="2"/>
  <c r="B474" i="2"/>
  <c r="D473" i="2"/>
  <c r="C473" i="2"/>
  <c r="B473" i="2"/>
  <c r="D472" i="2"/>
  <c r="C472" i="2"/>
  <c r="B472" i="2"/>
  <c r="D471" i="2"/>
  <c r="C471" i="2"/>
  <c r="B471" i="2"/>
  <c r="D470" i="2"/>
  <c r="C470" i="2"/>
  <c r="B470" i="2"/>
  <c r="D469" i="2"/>
  <c r="C469" i="2"/>
  <c r="B469" i="2"/>
  <c r="D468" i="2"/>
  <c r="C468" i="2"/>
  <c r="B468" i="2"/>
  <c r="D467" i="2"/>
  <c r="C467" i="2"/>
  <c r="B467" i="2"/>
  <c r="D466" i="2"/>
  <c r="C466" i="2"/>
  <c r="B466" i="2"/>
  <c r="D465" i="2"/>
  <c r="C465" i="2"/>
  <c r="B465" i="2"/>
  <c r="D464" i="2"/>
  <c r="C464" i="2"/>
  <c r="B464" i="2"/>
  <c r="D463" i="2"/>
  <c r="C463" i="2"/>
  <c r="B463" i="2"/>
  <c r="D462" i="2"/>
  <c r="C462" i="2"/>
  <c r="B462" i="2"/>
  <c r="D461" i="2"/>
  <c r="C461" i="2"/>
  <c r="B461" i="2"/>
  <c r="D460" i="2"/>
  <c r="C460" i="2"/>
  <c r="B460" i="2"/>
  <c r="D459" i="2"/>
  <c r="C459" i="2"/>
  <c r="B459" i="2"/>
  <c r="D458" i="2"/>
  <c r="C458" i="2"/>
  <c r="B458" i="2"/>
  <c r="D457" i="2"/>
  <c r="C457" i="2"/>
  <c r="B457" i="2"/>
  <c r="D456" i="2"/>
  <c r="C456" i="2"/>
  <c r="B456" i="2"/>
  <c r="D455" i="2"/>
  <c r="C455" i="2"/>
  <c r="B455" i="2"/>
  <c r="D454" i="2"/>
  <c r="C454" i="2"/>
  <c r="B454" i="2"/>
  <c r="D453" i="2"/>
  <c r="C453" i="2"/>
  <c r="B453" i="2"/>
  <c r="D452" i="2"/>
  <c r="C452" i="2"/>
  <c r="B452" i="2"/>
  <c r="D451" i="2"/>
  <c r="C451" i="2"/>
  <c r="B451" i="2"/>
  <c r="D450" i="2"/>
  <c r="C450" i="2"/>
  <c r="B450" i="2"/>
  <c r="D449" i="2"/>
  <c r="C449" i="2"/>
  <c r="B449" i="2"/>
  <c r="D448" i="2"/>
  <c r="C448" i="2"/>
  <c r="B448" i="2"/>
  <c r="D447" i="2"/>
  <c r="C447" i="2"/>
  <c r="B447" i="2"/>
  <c r="D446" i="2"/>
  <c r="C446" i="2"/>
  <c r="B446" i="2"/>
  <c r="D445" i="2"/>
  <c r="C445" i="2"/>
  <c r="B445" i="2"/>
  <c r="D444" i="2"/>
  <c r="C444" i="2"/>
  <c r="B444" i="2"/>
  <c r="D443" i="2"/>
  <c r="C443" i="2"/>
  <c r="B443" i="2"/>
  <c r="D442" i="2"/>
  <c r="C442" i="2"/>
  <c r="B442" i="2"/>
  <c r="D441" i="2"/>
  <c r="C441" i="2"/>
  <c r="B441" i="2"/>
  <c r="D440" i="2"/>
  <c r="C440" i="2"/>
  <c r="B440" i="2"/>
  <c r="D439" i="2"/>
  <c r="C439" i="2"/>
  <c r="B439" i="2"/>
  <c r="D438" i="2"/>
  <c r="C438" i="2"/>
  <c r="B438" i="2"/>
  <c r="D437" i="2"/>
  <c r="C437" i="2"/>
  <c r="B437" i="2"/>
  <c r="D436" i="2"/>
  <c r="C436" i="2"/>
  <c r="B436" i="2"/>
  <c r="D435" i="2"/>
  <c r="C435" i="2"/>
  <c r="B435" i="2"/>
  <c r="D434" i="2"/>
  <c r="C434" i="2"/>
  <c r="B434" i="2"/>
  <c r="D433" i="2"/>
  <c r="C433" i="2"/>
  <c r="B433" i="2"/>
  <c r="D432" i="2"/>
  <c r="C432" i="2"/>
  <c r="B432" i="2"/>
  <c r="D431" i="2"/>
  <c r="C431" i="2"/>
  <c r="B431" i="2"/>
  <c r="D430" i="2"/>
  <c r="C430" i="2"/>
  <c r="B430" i="2"/>
  <c r="D429" i="2"/>
  <c r="C429" i="2"/>
  <c r="B429" i="2"/>
  <c r="D428" i="2"/>
  <c r="C428" i="2"/>
  <c r="B428" i="2"/>
  <c r="D427" i="2"/>
  <c r="C427" i="2"/>
  <c r="B427" i="2"/>
  <c r="D426" i="2"/>
  <c r="C426" i="2"/>
  <c r="B426" i="2"/>
  <c r="D425" i="2"/>
  <c r="C425" i="2"/>
  <c r="B425" i="2"/>
  <c r="D424" i="2"/>
  <c r="C424" i="2"/>
  <c r="B424" i="2"/>
  <c r="D423" i="2"/>
  <c r="C423" i="2"/>
  <c r="B423" i="2"/>
  <c r="D422" i="2"/>
  <c r="C422" i="2"/>
  <c r="B422" i="2"/>
  <c r="D421" i="2"/>
  <c r="C421" i="2"/>
  <c r="B421" i="2"/>
  <c r="D420" i="2"/>
  <c r="C420" i="2"/>
  <c r="B420" i="2"/>
  <c r="D419" i="2"/>
  <c r="C419" i="2"/>
  <c r="B419" i="2"/>
  <c r="D418" i="2"/>
  <c r="C418" i="2"/>
  <c r="B418" i="2"/>
  <c r="D417" i="2"/>
  <c r="C417" i="2"/>
  <c r="B417" i="2"/>
  <c r="D416" i="2"/>
  <c r="C416" i="2"/>
  <c r="B416" i="2"/>
  <c r="D415" i="2"/>
  <c r="C415" i="2"/>
  <c r="B415" i="2"/>
  <c r="D414" i="2"/>
  <c r="C414" i="2"/>
  <c r="B414" i="2"/>
  <c r="D413" i="2"/>
  <c r="C413" i="2"/>
  <c r="B413" i="2"/>
  <c r="D412" i="2"/>
  <c r="C412" i="2"/>
  <c r="B412" i="2"/>
  <c r="D411" i="2"/>
  <c r="C411" i="2"/>
  <c r="B411" i="2"/>
  <c r="D410" i="2"/>
  <c r="C410" i="2"/>
  <c r="B410" i="2"/>
  <c r="D409" i="2"/>
  <c r="C409" i="2"/>
  <c r="B409" i="2"/>
  <c r="D408" i="2"/>
  <c r="C408" i="2"/>
  <c r="B408" i="2"/>
  <c r="D407" i="2"/>
  <c r="C407" i="2"/>
  <c r="B407" i="2"/>
  <c r="D406" i="2"/>
  <c r="C406" i="2"/>
  <c r="B406" i="2"/>
  <c r="D405" i="2"/>
  <c r="C405" i="2"/>
  <c r="B405" i="2"/>
  <c r="D404" i="2"/>
  <c r="C404" i="2"/>
  <c r="B404" i="2"/>
  <c r="D403" i="2"/>
  <c r="C403" i="2"/>
  <c r="B403" i="2"/>
  <c r="D402" i="2"/>
  <c r="C402" i="2"/>
  <c r="B402" i="2"/>
  <c r="D401" i="2"/>
  <c r="C401" i="2"/>
  <c r="B401" i="2"/>
  <c r="D400" i="2"/>
  <c r="C400" i="2"/>
  <c r="B400" i="2"/>
  <c r="D399" i="2"/>
  <c r="C399" i="2"/>
  <c r="B399" i="2"/>
  <c r="D398" i="2"/>
  <c r="C398" i="2"/>
  <c r="B398" i="2"/>
  <c r="D397" i="2"/>
  <c r="C397" i="2"/>
  <c r="B397" i="2"/>
  <c r="D396" i="2"/>
  <c r="C396" i="2"/>
  <c r="B396" i="2"/>
  <c r="D395" i="2"/>
  <c r="C395" i="2"/>
  <c r="B395" i="2"/>
  <c r="D394" i="2"/>
  <c r="C394" i="2"/>
  <c r="B394" i="2"/>
  <c r="D393" i="2"/>
  <c r="C393" i="2"/>
  <c r="B393" i="2"/>
  <c r="D392" i="2"/>
  <c r="C392" i="2"/>
  <c r="B392" i="2"/>
  <c r="D391" i="2"/>
  <c r="C391" i="2"/>
  <c r="B391" i="2"/>
  <c r="D390" i="2"/>
  <c r="C390" i="2"/>
  <c r="B390" i="2"/>
  <c r="D389" i="2"/>
  <c r="C389" i="2"/>
  <c r="B389" i="2"/>
  <c r="D388" i="2"/>
  <c r="C388" i="2"/>
  <c r="B388" i="2"/>
  <c r="D387" i="2"/>
  <c r="C387" i="2"/>
  <c r="B387" i="2"/>
  <c r="D386" i="2"/>
  <c r="C386" i="2"/>
  <c r="B386" i="2"/>
  <c r="D385" i="2"/>
  <c r="C385" i="2"/>
  <c r="B385" i="2"/>
  <c r="D384" i="2"/>
  <c r="C384" i="2"/>
  <c r="B384" i="2"/>
  <c r="D383" i="2"/>
  <c r="C383" i="2"/>
  <c r="B383" i="2"/>
  <c r="D382" i="2"/>
  <c r="C382" i="2"/>
  <c r="B382" i="2"/>
  <c r="D381" i="2"/>
  <c r="C381" i="2"/>
  <c r="B381" i="2"/>
  <c r="D380" i="2"/>
  <c r="C380" i="2"/>
  <c r="B380" i="2"/>
  <c r="D379" i="2"/>
  <c r="C379" i="2"/>
  <c r="B379" i="2"/>
  <c r="D378" i="2"/>
  <c r="C378" i="2"/>
  <c r="B378" i="2"/>
  <c r="D377" i="2"/>
  <c r="C377" i="2"/>
  <c r="B377" i="2"/>
  <c r="D376" i="2"/>
  <c r="C376" i="2"/>
  <c r="B376" i="2"/>
  <c r="D375" i="2"/>
  <c r="C375" i="2"/>
  <c r="B375" i="2"/>
  <c r="D374" i="2"/>
  <c r="C374" i="2"/>
  <c r="B374" i="2"/>
  <c r="D373" i="2"/>
  <c r="C373" i="2"/>
  <c r="B373" i="2"/>
  <c r="D372" i="2"/>
  <c r="C372" i="2"/>
  <c r="B372" i="2"/>
  <c r="D371" i="2"/>
  <c r="C371" i="2"/>
  <c r="B371" i="2"/>
  <c r="D370" i="2"/>
  <c r="C370" i="2"/>
  <c r="B370" i="2"/>
  <c r="D369" i="2"/>
  <c r="C369" i="2"/>
  <c r="B369" i="2"/>
  <c r="D368" i="2"/>
  <c r="C368" i="2"/>
  <c r="B368" i="2"/>
  <c r="D367" i="2"/>
  <c r="C367" i="2"/>
  <c r="B367" i="2"/>
  <c r="D366" i="2"/>
  <c r="C366" i="2"/>
  <c r="B366" i="2"/>
  <c r="D365" i="2"/>
  <c r="C365" i="2"/>
  <c r="B365" i="2"/>
  <c r="D364" i="2"/>
  <c r="C364" i="2"/>
  <c r="B364" i="2"/>
  <c r="D363" i="2"/>
  <c r="C363" i="2"/>
  <c r="B363" i="2"/>
  <c r="D362" i="2"/>
  <c r="C362" i="2"/>
  <c r="B362" i="2"/>
  <c r="D361" i="2"/>
  <c r="C361" i="2"/>
  <c r="B361" i="2"/>
  <c r="D360" i="2"/>
  <c r="C360" i="2"/>
  <c r="B360" i="2"/>
  <c r="D359" i="2"/>
  <c r="C359" i="2"/>
  <c r="B359" i="2"/>
  <c r="D358" i="2"/>
  <c r="C358" i="2"/>
  <c r="B358" i="2"/>
  <c r="D357" i="2"/>
  <c r="C357" i="2"/>
  <c r="B357" i="2"/>
  <c r="D356" i="2"/>
  <c r="C356" i="2"/>
  <c r="B356" i="2"/>
  <c r="D355" i="2"/>
  <c r="C355" i="2"/>
  <c r="B355" i="2"/>
  <c r="D354" i="2"/>
  <c r="C354" i="2"/>
  <c r="B354" i="2"/>
  <c r="D353" i="2"/>
  <c r="C353" i="2"/>
  <c r="B353" i="2"/>
  <c r="D352" i="2"/>
  <c r="C352" i="2"/>
  <c r="B352" i="2"/>
  <c r="D351" i="2"/>
  <c r="C351" i="2"/>
  <c r="B351" i="2"/>
  <c r="D350" i="2"/>
  <c r="C350" i="2"/>
  <c r="B350" i="2"/>
  <c r="D349" i="2"/>
  <c r="C349" i="2"/>
  <c r="B349" i="2"/>
  <c r="D348" i="2"/>
  <c r="C348" i="2"/>
  <c r="B348" i="2"/>
  <c r="D347" i="2"/>
  <c r="C347" i="2"/>
  <c r="B347" i="2"/>
  <c r="D346" i="2"/>
  <c r="C346" i="2"/>
  <c r="B346" i="2"/>
  <c r="D345" i="2"/>
  <c r="C345" i="2"/>
  <c r="B345" i="2"/>
  <c r="D344" i="2"/>
  <c r="C344" i="2"/>
  <c r="B344" i="2"/>
  <c r="D343" i="2"/>
  <c r="C343" i="2"/>
  <c r="B343" i="2"/>
  <c r="D342" i="2"/>
  <c r="C342" i="2"/>
  <c r="B342" i="2"/>
  <c r="D341" i="2"/>
  <c r="C341" i="2"/>
  <c r="B341" i="2"/>
  <c r="D340" i="2"/>
  <c r="C340" i="2"/>
  <c r="B340" i="2"/>
  <c r="D339" i="2"/>
  <c r="C339" i="2"/>
  <c r="B339" i="2"/>
  <c r="D338" i="2"/>
  <c r="C338" i="2"/>
  <c r="B338" i="2"/>
  <c r="D337" i="2"/>
  <c r="C337" i="2"/>
  <c r="B337" i="2"/>
  <c r="D336" i="2"/>
  <c r="C336" i="2"/>
  <c r="B336" i="2"/>
  <c r="D335" i="2"/>
  <c r="C335" i="2"/>
  <c r="B335" i="2"/>
  <c r="D334" i="2"/>
  <c r="C334" i="2"/>
  <c r="B334" i="2"/>
  <c r="D333" i="2"/>
  <c r="C333" i="2"/>
  <c r="B333" i="2"/>
  <c r="D332" i="2"/>
  <c r="C332" i="2"/>
  <c r="B332" i="2"/>
  <c r="D331" i="2"/>
  <c r="C331" i="2"/>
  <c r="B331" i="2"/>
  <c r="D330" i="2"/>
  <c r="C330" i="2"/>
  <c r="B330" i="2"/>
  <c r="D329" i="2"/>
  <c r="C329" i="2"/>
  <c r="B329" i="2"/>
  <c r="D328" i="2"/>
  <c r="C328" i="2"/>
  <c r="B328" i="2"/>
  <c r="D327" i="2"/>
  <c r="C327" i="2"/>
  <c r="B327" i="2"/>
  <c r="D326" i="2"/>
  <c r="C326" i="2"/>
  <c r="B326" i="2"/>
  <c r="D325" i="2"/>
  <c r="C325" i="2"/>
  <c r="B325" i="2"/>
  <c r="D324" i="2"/>
  <c r="C324" i="2"/>
  <c r="B324" i="2"/>
  <c r="D323" i="2"/>
  <c r="C323" i="2"/>
  <c r="B323" i="2"/>
  <c r="D322" i="2"/>
  <c r="C322" i="2"/>
  <c r="B322" i="2"/>
  <c r="D321" i="2"/>
  <c r="C321" i="2"/>
  <c r="B321" i="2"/>
  <c r="D320" i="2"/>
  <c r="C320" i="2"/>
  <c r="B320" i="2"/>
  <c r="D319" i="2"/>
  <c r="C319" i="2"/>
  <c r="B319" i="2"/>
  <c r="D318" i="2"/>
  <c r="C318" i="2"/>
  <c r="B318" i="2"/>
  <c r="D317" i="2"/>
  <c r="C317" i="2"/>
  <c r="B317" i="2"/>
  <c r="D316" i="2"/>
  <c r="C316" i="2"/>
  <c r="B316" i="2"/>
  <c r="D315" i="2"/>
  <c r="C315" i="2"/>
  <c r="B315" i="2"/>
  <c r="D314" i="2"/>
  <c r="C314" i="2"/>
  <c r="B314" i="2"/>
  <c r="D313" i="2"/>
  <c r="C313" i="2"/>
  <c r="B313" i="2"/>
  <c r="D312" i="2"/>
  <c r="C312" i="2"/>
  <c r="B312" i="2"/>
  <c r="D311" i="2"/>
  <c r="C311" i="2"/>
  <c r="B311" i="2"/>
  <c r="D310" i="2"/>
  <c r="C310" i="2"/>
  <c r="B310" i="2"/>
  <c r="D309" i="2"/>
  <c r="C309" i="2"/>
  <c r="B309" i="2"/>
  <c r="D308" i="2"/>
  <c r="C308" i="2"/>
  <c r="B308" i="2"/>
  <c r="D307" i="2"/>
  <c r="C307" i="2"/>
  <c r="B307" i="2"/>
  <c r="D306" i="2"/>
  <c r="C306" i="2"/>
  <c r="B306" i="2"/>
  <c r="D305" i="2"/>
  <c r="C305" i="2"/>
  <c r="B305" i="2"/>
  <c r="D304" i="2"/>
  <c r="C304" i="2"/>
  <c r="B304" i="2"/>
  <c r="D303" i="2"/>
  <c r="C303" i="2"/>
  <c r="B303" i="2"/>
  <c r="D302" i="2"/>
  <c r="C302" i="2"/>
  <c r="B302" i="2"/>
  <c r="D301" i="2"/>
  <c r="C301" i="2"/>
  <c r="B301" i="2"/>
  <c r="D300" i="2"/>
  <c r="C300" i="2"/>
  <c r="B300" i="2"/>
  <c r="D299" i="2"/>
  <c r="C299" i="2"/>
  <c r="B299" i="2"/>
  <c r="D298" i="2"/>
  <c r="C298" i="2"/>
  <c r="B298" i="2"/>
  <c r="D297" i="2"/>
  <c r="C297" i="2"/>
  <c r="B297" i="2"/>
  <c r="D296" i="2"/>
  <c r="C296" i="2"/>
  <c r="B296" i="2"/>
  <c r="D295" i="2"/>
  <c r="C295" i="2"/>
  <c r="B295" i="2"/>
  <c r="D294" i="2"/>
  <c r="C294" i="2"/>
  <c r="B294" i="2"/>
  <c r="D293" i="2"/>
  <c r="C293" i="2"/>
  <c r="B293" i="2"/>
  <c r="D292" i="2"/>
  <c r="C292" i="2"/>
  <c r="B292" i="2"/>
  <c r="D291" i="2"/>
  <c r="C291" i="2"/>
  <c r="B291" i="2"/>
  <c r="D290" i="2"/>
  <c r="C290" i="2"/>
  <c r="B290" i="2"/>
  <c r="D289" i="2"/>
  <c r="C289" i="2"/>
  <c r="B289" i="2"/>
  <c r="D288" i="2"/>
  <c r="C288" i="2"/>
  <c r="B288" i="2"/>
  <c r="D287" i="2"/>
  <c r="C287" i="2"/>
  <c r="B287" i="2"/>
  <c r="D286" i="2"/>
  <c r="C286" i="2"/>
  <c r="B286" i="2"/>
  <c r="D285" i="2"/>
  <c r="C285" i="2"/>
  <c r="B285" i="2"/>
  <c r="D284" i="2"/>
  <c r="C284" i="2"/>
  <c r="B284" i="2"/>
  <c r="D283" i="2"/>
  <c r="C283" i="2"/>
  <c r="B283" i="2"/>
  <c r="D282" i="2"/>
  <c r="C282" i="2"/>
  <c r="B282" i="2"/>
  <c r="D281" i="2"/>
  <c r="C281" i="2"/>
  <c r="B281" i="2"/>
  <c r="D280" i="2"/>
  <c r="C280" i="2"/>
  <c r="B280" i="2"/>
  <c r="D279" i="2"/>
  <c r="C279" i="2"/>
  <c r="B279" i="2"/>
  <c r="D278" i="2"/>
  <c r="C278" i="2"/>
  <c r="B278" i="2"/>
  <c r="D277" i="2"/>
  <c r="C277" i="2"/>
  <c r="B277" i="2"/>
  <c r="D276" i="2"/>
  <c r="C276" i="2"/>
  <c r="B276" i="2"/>
  <c r="D275" i="2"/>
  <c r="C275" i="2"/>
  <c r="B275" i="2"/>
  <c r="D274" i="2"/>
  <c r="C274" i="2"/>
  <c r="B274" i="2"/>
  <c r="D273" i="2"/>
  <c r="C273" i="2"/>
  <c r="B273" i="2"/>
  <c r="D272" i="2"/>
  <c r="C272" i="2"/>
  <c r="B272" i="2"/>
  <c r="D271" i="2"/>
  <c r="C271" i="2"/>
  <c r="B271" i="2"/>
  <c r="D270" i="2"/>
  <c r="C270" i="2"/>
  <c r="B270" i="2"/>
  <c r="D269" i="2"/>
  <c r="C269" i="2"/>
  <c r="B269" i="2"/>
  <c r="D268" i="2"/>
  <c r="C268" i="2"/>
  <c r="B268" i="2"/>
  <c r="D267" i="2"/>
  <c r="C267" i="2"/>
  <c r="B267" i="2"/>
  <c r="D266" i="2"/>
  <c r="C266" i="2"/>
  <c r="B266" i="2"/>
  <c r="D265" i="2"/>
  <c r="C265" i="2"/>
  <c r="B265" i="2"/>
  <c r="D264" i="2"/>
  <c r="C264" i="2"/>
  <c r="B264" i="2"/>
  <c r="D263" i="2"/>
  <c r="C263" i="2"/>
  <c r="B263" i="2"/>
  <c r="D262" i="2"/>
  <c r="C262" i="2"/>
  <c r="B262" i="2"/>
  <c r="D261" i="2"/>
  <c r="C261" i="2"/>
  <c r="B261" i="2"/>
  <c r="D260" i="2"/>
  <c r="C260" i="2"/>
  <c r="B260" i="2"/>
  <c r="D259" i="2"/>
  <c r="C259" i="2"/>
  <c r="B259" i="2"/>
  <c r="D258" i="2"/>
  <c r="C258" i="2"/>
  <c r="B258" i="2"/>
  <c r="D257" i="2"/>
  <c r="C257" i="2"/>
  <c r="B257" i="2"/>
  <c r="D256" i="2"/>
  <c r="C256" i="2"/>
  <c r="B256" i="2"/>
  <c r="D255" i="2"/>
  <c r="C255" i="2"/>
  <c r="B255" i="2"/>
  <c r="D254" i="2"/>
  <c r="C254" i="2"/>
  <c r="B254" i="2"/>
  <c r="D253" i="2"/>
  <c r="C253" i="2"/>
  <c r="B253" i="2"/>
  <c r="D252" i="2"/>
  <c r="C252" i="2"/>
  <c r="B252" i="2"/>
  <c r="D251" i="2"/>
  <c r="C251" i="2"/>
  <c r="B251" i="2"/>
  <c r="D250" i="2"/>
  <c r="C250" i="2"/>
  <c r="B250" i="2"/>
  <c r="D249" i="2"/>
  <c r="C249" i="2"/>
  <c r="B249" i="2"/>
  <c r="D248" i="2"/>
  <c r="C248" i="2"/>
  <c r="B248" i="2"/>
  <c r="D247" i="2"/>
  <c r="C247" i="2"/>
  <c r="B247" i="2"/>
  <c r="D246" i="2"/>
  <c r="C246" i="2"/>
  <c r="B246" i="2"/>
  <c r="D245" i="2"/>
  <c r="C245" i="2"/>
  <c r="B245" i="2"/>
  <c r="D244" i="2"/>
  <c r="C244" i="2"/>
  <c r="B244" i="2"/>
  <c r="D243" i="2"/>
  <c r="C243" i="2"/>
  <c r="B243" i="2"/>
  <c r="D242" i="2"/>
  <c r="C242" i="2"/>
  <c r="B242" i="2"/>
  <c r="D241" i="2"/>
  <c r="C241" i="2"/>
  <c r="B241" i="2"/>
  <c r="D240" i="2"/>
  <c r="C240" i="2"/>
  <c r="B240" i="2"/>
  <c r="D239" i="2"/>
  <c r="C239" i="2"/>
  <c r="B239" i="2"/>
  <c r="D238" i="2"/>
  <c r="C238" i="2"/>
  <c r="B238" i="2"/>
  <c r="D237" i="2"/>
  <c r="C237" i="2"/>
  <c r="B237" i="2"/>
  <c r="D236" i="2"/>
  <c r="C236" i="2"/>
  <c r="B236" i="2"/>
  <c r="D235" i="2"/>
  <c r="C235" i="2"/>
  <c r="B235" i="2"/>
  <c r="D234" i="2"/>
  <c r="C234" i="2"/>
  <c r="B234" i="2"/>
  <c r="D233" i="2"/>
  <c r="C233" i="2"/>
  <c r="B233" i="2"/>
  <c r="D232" i="2"/>
  <c r="C232" i="2"/>
  <c r="B232" i="2"/>
  <c r="D231" i="2"/>
  <c r="C231" i="2"/>
  <c r="B231" i="2"/>
  <c r="D230" i="2"/>
  <c r="C230" i="2"/>
  <c r="B230" i="2"/>
  <c r="D229" i="2"/>
  <c r="C229" i="2"/>
  <c r="B229" i="2"/>
  <c r="D228" i="2"/>
  <c r="C228" i="2"/>
  <c r="B228" i="2"/>
  <c r="D227" i="2"/>
  <c r="C227" i="2"/>
  <c r="B227" i="2"/>
  <c r="D226" i="2"/>
  <c r="C226" i="2"/>
  <c r="B226" i="2"/>
  <c r="D225" i="2"/>
  <c r="C225" i="2"/>
  <c r="B225" i="2"/>
  <c r="D224" i="2"/>
  <c r="C224" i="2"/>
  <c r="B224" i="2"/>
  <c r="D223" i="2"/>
  <c r="C223" i="2"/>
  <c r="B223" i="2"/>
  <c r="D222" i="2"/>
  <c r="C222" i="2"/>
  <c r="B222" i="2"/>
  <c r="D221" i="2"/>
  <c r="C221" i="2"/>
  <c r="B221" i="2"/>
  <c r="D220" i="2"/>
  <c r="C220" i="2"/>
  <c r="B220" i="2"/>
  <c r="D219" i="2"/>
  <c r="C219" i="2"/>
  <c r="B219" i="2"/>
  <c r="D218" i="2"/>
  <c r="C218" i="2"/>
  <c r="B218" i="2"/>
  <c r="D217" i="2"/>
  <c r="C217" i="2"/>
  <c r="B217" i="2"/>
  <c r="D216" i="2"/>
  <c r="C216" i="2"/>
  <c r="B216" i="2"/>
  <c r="D215" i="2"/>
  <c r="C215" i="2"/>
  <c r="B215" i="2"/>
  <c r="D214" i="2"/>
  <c r="C214" i="2"/>
  <c r="B214" i="2"/>
  <c r="D213" i="2"/>
  <c r="C213" i="2"/>
  <c r="B213" i="2"/>
  <c r="D212" i="2"/>
  <c r="C212" i="2"/>
  <c r="B212" i="2"/>
  <c r="D211" i="2"/>
  <c r="C211" i="2"/>
  <c r="B211" i="2"/>
  <c r="D210" i="2"/>
  <c r="C210" i="2"/>
  <c r="B210" i="2"/>
  <c r="D209" i="2"/>
  <c r="C209" i="2"/>
  <c r="B209" i="2"/>
  <c r="D208" i="2"/>
  <c r="C208" i="2"/>
  <c r="B208" i="2"/>
  <c r="D207" i="2"/>
  <c r="C207" i="2"/>
  <c r="B207" i="2"/>
  <c r="D206" i="2"/>
  <c r="C206" i="2"/>
  <c r="B206" i="2"/>
  <c r="D205" i="2"/>
  <c r="C205" i="2"/>
  <c r="B205" i="2"/>
  <c r="D204" i="2"/>
  <c r="C204" i="2"/>
  <c r="B204" i="2"/>
  <c r="D203" i="2"/>
  <c r="C203" i="2"/>
  <c r="B203" i="2"/>
  <c r="D202" i="2"/>
  <c r="C202" i="2"/>
  <c r="B202" i="2"/>
  <c r="D201" i="2"/>
  <c r="C201" i="2"/>
  <c r="B201" i="2"/>
  <c r="D200" i="2"/>
  <c r="C200" i="2"/>
  <c r="B200" i="2"/>
  <c r="D199" i="2"/>
  <c r="C199" i="2"/>
  <c r="B199" i="2"/>
  <c r="D198" i="2"/>
  <c r="C198" i="2"/>
  <c r="B198" i="2"/>
  <c r="D197" i="2"/>
  <c r="C197" i="2"/>
  <c r="B197" i="2"/>
  <c r="D196" i="2"/>
  <c r="C196" i="2"/>
  <c r="B196" i="2"/>
  <c r="D195" i="2"/>
  <c r="C195" i="2"/>
  <c r="B195" i="2"/>
  <c r="D194" i="2"/>
  <c r="C194" i="2"/>
  <c r="B194" i="2"/>
  <c r="D193" i="2"/>
  <c r="C193" i="2"/>
  <c r="B193" i="2"/>
  <c r="D192" i="2"/>
  <c r="C192" i="2"/>
  <c r="B192" i="2"/>
  <c r="D191" i="2"/>
  <c r="C191" i="2"/>
  <c r="B191" i="2"/>
  <c r="D190" i="2"/>
  <c r="C190" i="2"/>
  <c r="B190" i="2"/>
  <c r="D189" i="2"/>
  <c r="C189" i="2"/>
  <c r="B189" i="2"/>
  <c r="D188" i="2"/>
  <c r="C188" i="2"/>
  <c r="B188" i="2"/>
  <c r="D187" i="2"/>
  <c r="C187" i="2"/>
  <c r="B187" i="2"/>
  <c r="D186" i="2"/>
  <c r="C186" i="2"/>
  <c r="B186" i="2"/>
  <c r="D185" i="2"/>
  <c r="C185" i="2"/>
  <c r="B185" i="2"/>
  <c r="D184" i="2"/>
  <c r="C184" i="2"/>
  <c r="B184" i="2"/>
  <c r="D183" i="2"/>
  <c r="C183" i="2"/>
  <c r="B183" i="2"/>
  <c r="D182" i="2"/>
  <c r="C182" i="2"/>
  <c r="B182" i="2"/>
  <c r="D181" i="2"/>
  <c r="C181" i="2"/>
  <c r="B181" i="2"/>
  <c r="D180" i="2"/>
  <c r="C180" i="2"/>
  <c r="B180" i="2"/>
  <c r="D179" i="2"/>
  <c r="C179" i="2"/>
  <c r="B179" i="2"/>
  <c r="D178" i="2"/>
  <c r="C178" i="2"/>
  <c r="B178" i="2"/>
  <c r="D177" i="2"/>
  <c r="C177" i="2"/>
  <c r="B177" i="2"/>
  <c r="D176" i="2"/>
  <c r="C176" i="2"/>
  <c r="B176" i="2"/>
  <c r="D175" i="2"/>
  <c r="C175" i="2"/>
  <c r="B175" i="2"/>
  <c r="D174" i="2"/>
  <c r="C174" i="2"/>
  <c r="B174" i="2"/>
  <c r="D173" i="2"/>
  <c r="C173" i="2"/>
  <c r="B173" i="2"/>
  <c r="D172" i="2"/>
  <c r="C172" i="2"/>
  <c r="B172" i="2"/>
  <c r="D171" i="2"/>
  <c r="C171" i="2"/>
  <c r="B171" i="2"/>
  <c r="D170" i="2"/>
  <c r="C170" i="2"/>
  <c r="B170" i="2"/>
  <c r="D169" i="2"/>
  <c r="C169" i="2"/>
  <c r="B169" i="2"/>
  <c r="D168" i="2"/>
  <c r="C168" i="2"/>
  <c r="B168" i="2"/>
  <c r="D167" i="2"/>
  <c r="C167" i="2"/>
  <c r="B167" i="2"/>
  <c r="D166" i="2"/>
  <c r="C166" i="2"/>
  <c r="B166" i="2"/>
  <c r="D165" i="2"/>
  <c r="C165" i="2"/>
  <c r="B165" i="2"/>
  <c r="D164" i="2"/>
  <c r="C164" i="2"/>
  <c r="B164" i="2"/>
  <c r="D163" i="2"/>
  <c r="C163" i="2"/>
  <c r="B163" i="2"/>
  <c r="D162" i="2"/>
  <c r="C162" i="2"/>
  <c r="B162" i="2"/>
  <c r="D161" i="2"/>
  <c r="C161" i="2"/>
  <c r="B161" i="2"/>
  <c r="D160" i="2"/>
  <c r="C160" i="2"/>
  <c r="B160" i="2"/>
  <c r="D159" i="2"/>
  <c r="C159" i="2"/>
  <c r="B159" i="2"/>
  <c r="D158" i="2"/>
  <c r="C158" i="2"/>
  <c r="B158" i="2"/>
  <c r="D157" i="2"/>
  <c r="C157" i="2"/>
  <c r="B157" i="2"/>
  <c r="D156" i="2"/>
  <c r="C156" i="2"/>
  <c r="B156" i="2"/>
  <c r="D155" i="2"/>
  <c r="C155" i="2"/>
  <c r="B155" i="2"/>
  <c r="D154" i="2"/>
  <c r="C154" i="2"/>
  <c r="B154" i="2"/>
  <c r="D153" i="2"/>
  <c r="C153" i="2"/>
  <c r="B153" i="2"/>
  <c r="D152" i="2"/>
  <c r="C152" i="2"/>
  <c r="B152" i="2"/>
  <c r="D151" i="2"/>
  <c r="C151" i="2"/>
  <c r="B151" i="2"/>
  <c r="D150" i="2"/>
  <c r="C150" i="2"/>
  <c r="B150" i="2"/>
  <c r="D149" i="2"/>
  <c r="C149" i="2"/>
  <c r="B149" i="2"/>
  <c r="D148" i="2"/>
  <c r="C148" i="2"/>
  <c r="B148" i="2"/>
  <c r="D147" i="2"/>
  <c r="C147" i="2"/>
  <c r="B147" i="2"/>
  <c r="D146" i="2"/>
  <c r="C146" i="2"/>
  <c r="B146" i="2"/>
  <c r="D145" i="2"/>
  <c r="C145" i="2"/>
  <c r="B145" i="2"/>
  <c r="D144" i="2"/>
  <c r="C144" i="2"/>
  <c r="B144" i="2"/>
  <c r="D143" i="2"/>
  <c r="C143" i="2"/>
  <c r="B143" i="2"/>
  <c r="D142" i="2"/>
  <c r="C142" i="2"/>
  <c r="B142" i="2"/>
  <c r="D141" i="2"/>
  <c r="C141" i="2"/>
  <c r="B141" i="2"/>
  <c r="D140" i="2"/>
  <c r="C140" i="2"/>
  <c r="B140" i="2"/>
  <c r="D139" i="2"/>
  <c r="C139" i="2"/>
  <c r="B139" i="2"/>
  <c r="D138" i="2"/>
  <c r="C138" i="2"/>
  <c r="B138" i="2"/>
  <c r="D137" i="2"/>
  <c r="C137" i="2"/>
  <c r="B137" i="2"/>
  <c r="D136" i="2"/>
  <c r="C136" i="2"/>
  <c r="B136" i="2"/>
  <c r="D135" i="2"/>
  <c r="C135" i="2"/>
  <c r="B135" i="2"/>
  <c r="D134" i="2"/>
  <c r="C134" i="2"/>
  <c r="B134" i="2"/>
  <c r="D133" i="2"/>
  <c r="C133" i="2"/>
  <c r="B133" i="2"/>
  <c r="D132" i="2"/>
  <c r="C132" i="2"/>
  <c r="B132" i="2"/>
  <c r="D131" i="2"/>
  <c r="C131" i="2"/>
  <c r="B131" i="2"/>
  <c r="D130" i="2"/>
  <c r="C130" i="2"/>
  <c r="B130" i="2"/>
  <c r="D129" i="2"/>
  <c r="C129" i="2"/>
  <c r="B129" i="2"/>
  <c r="D128" i="2"/>
  <c r="C128" i="2"/>
  <c r="B128" i="2"/>
  <c r="D127" i="2"/>
  <c r="C127" i="2"/>
  <c r="B127" i="2"/>
  <c r="D126" i="2"/>
  <c r="C126" i="2"/>
  <c r="B126" i="2"/>
  <c r="D125" i="2"/>
  <c r="C125" i="2"/>
  <c r="B125" i="2"/>
  <c r="D124" i="2"/>
  <c r="C124" i="2"/>
  <c r="B124" i="2"/>
  <c r="D123" i="2"/>
  <c r="C123" i="2"/>
  <c r="B123" i="2"/>
  <c r="D122" i="2"/>
  <c r="C122" i="2"/>
  <c r="B122" i="2"/>
  <c r="D121" i="2"/>
  <c r="C121" i="2"/>
  <c r="B121" i="2"/>
  <c r="D120" i="2"/>
  <c r="C120" i="2"/>
  <c r="B120" i="2"/>
  <c r="D119" i="2"/>
  <c r="C119" i="2"/>
  <c r="B119" i="2"/>
  <c r="D118" i="2"/>
  <c r="C118" i="2"/>
  <c r="B118" i="2"/>
  <c r="D117" i="2"/>
  <c r="C117" i="2"/>
  <c r="B117" i="2"/>
  <c r="D116" i="2"/>
  <c r="C116" i="2"/>
  <c r="B116" i="2"/>
  <c r="D115" i="2"/>
  <c r="C115" i="2"/>
  <c r="B115" i="2"/>
  <c r="D114" i="2"/>
  <c r="C114" i="2"/>
  <c r="B114" i="2"/>
  <c r="D113" i="2"/>
  <c r="C113" i="2"/>
  <c r="B113" i="2"/>
  <c r="D112" i="2"/>
  <c r="C112" i="2"/>
  <c r="B112" i="2"/>
  <c r="D111" i="2"/>
  <c r="C111" i="2"/>
  <c r="B111" i="2"/>
  <c r="D110" i="2"/>
  <c r="C110" i="2"/>
  <c r="B110" i="2"/>
  <c r="D109" i="2"/>
  <c r="C109" i="2"/>
  <c r="B109" i="2"/>
  <c r="D108" i="2"/>
  <c r="C108" i="2"/>
  <c r="B108" i="2"/>
  <c r="D107" i="2"/>
  <c r="C107" i="2"/>
  <c r="B107" i="2"/>
  <c r="D106" i="2"/>
  <c r="C106" i="2"/>
  <c r="B106" i="2"/>
  <c r="D105" i="2"/>
  <c r="C105" i="2"/>
  <c r="B105" i="2"/>
  <c r="D104" i="2"/>
  <c r="C104" i="2"/>
  <c r="B104" i="2"/>
  <c r="D103" i="2"/>
  <c r="C103" i="2"/>
  <c r="B103" i="2"/>
  <c r="D102" i="2"/>
  <c r="C102" i="2"/>
  <c r="B102" i="2"/>
  <c r="D101" i="2"/>
  <c r="C101" i="2"/>
  <c r="B101" i="2"/>
  <c r="D100" i="2"/>
  <c r="C100" i="2"/>
  <c r="B100" i="2"/>
  <c r="D99" i="2"/>
  <c r="C99" i="2"/>
  <c r="B99" i="2"/>
  <c r="D98" i="2"/>
  <c r="C98" i="2"/>
  <c r="B98" i="2"/>
  <c r="D97" i="2"/>
  <c r="C97" i="2"/>
  <c r="B97" i="2"/>
  <c r="D96" i="2"/>
  <c r="C96" i="2"/>
  <c r="B96" i="2"/>
  <c r="D95" i="2"/>
  <c r="C95" i="2"/>
  <c r="B95" i="2"/>
  <c r="D94" i="2"/>
  <c r="C94" i="2"/>
  <c r="B94" i="2"/>
  <c r="D93" i="2"/>
  <c r="C93" i="2"/>
  <c r="B93" i="2"/>
  <c r="D92" i="2"/>
  <c r="C92" i="2"/>
  <c r="B92" i="2"/>
  <c r="D91" i="2"/>
  <c r="C91" i="2"/>
  <c r="B91" i="2"/>
  <c r="D90" i="2"/>
  <c r="C90" i="2"/>
  <c r="B90" i="2"/>
  <c r="D89" i="2"/>
  <c r="C89" i="2"/>
  <c r="B89" i="2"/>
  <c r="D88" i="2"/>
  <c r="C88" i="2"/>
  <c r="B88" i="2"/>
  <c r="D87" i="2"/>
  <c r="C87" i="2"/>
  <c r="B87" i="2"/>
  <c r="D86" i="2"/>
  <c r="C86" i="2"/>
  <c r="B86" i="2"/>
  <c r="D85" i="2"/>
  <c r="C85" i="2"/>
  <c r="B85" i="2"/>
  <c r="D84" i="2"/>
  <c r="C84" i="2"/>
  <c r="B84" i="2"/>
  <c r="D83" i="2"/>
  <c r="C83" i="2"/>
  <c r="B83" i="2"/>
  <c r="D82" i="2"/>
  <c r="C82" i="2"/>
  <c r="B82" i="2"/>
  <c r="D81" i="2"/>
  <c r="C81" i="2"/>
  <c r="B81" i="2"/>
  <c r="D80" i="2"/>
  <c r="C80" i="2"/>
  <c r="B80" i="2"/>
  <c r="D79" i="2"/>
  <c r="C79" i="2"/>
  <c r="B79" i="2"/>
  <c r="D78" i="2"/>
  <c r="C78" i="2"/>
  <c r="B78" i="2"/>
  <c r="D77" i="2"/>
  <c r="C77" i="2"/>
  <c r="B77" i="2"/>
  <c r="D76" i="2"/>
  <c r="C76" i="2"/>
  <c r="B76" i="2"/>
  <c r="D75" i="2"/>
  <c r="C75" i="2"/>
  <c r="B75" i="2"/>
  <c r="D74" i="2"/>
  <c r="C74" i="2"/>
  <c r="B74" i="2"/>
  <c r="D73" i="2"/>
  <c r="C73" i="2"/>
  <c r="B73" i="2"/>
  <c r="D72" i="2"/>
  <c r="C72" i="2"/>
  <c r="B72" i="2"/>
  <c r="D71" i="2"/>
  <c r="C71" i="2"/>
  <c r="B71" i="2"/>
  <c r="D70" i="2"/>
  <c r="C70" i="2"/>
  <c r="B70" i="2"/>
  <c r="D69" i="2"/>
  <c r="C69" i="2"/>
  <c r="B69" i="2"/>
  <c r="D68" i="2"/>
  <c r="C68" i="2"/>
  <c r="B68" i="2"/>
  <c r="D67" i="2"/>
  <c r="C67" i="2"/>
  <c r="B67" i="2"/>
  <c r="D66" i="2"/>
  <c r="C66" i="2"/>
  <c r="B66" i="2"/>
  <c r="D65" i="2"/>
  <c r="C65" i="2"/>
  <c r="B65" i="2"/>
  <c r="D64" i="2"/>
  <c r="C64" i="2"/>
  <c r="B64" i="2"/>
  <c r="D63" i="2"/>
  <c r="C63" i="2"/>
  <c r="B63" i="2"/>
  <c r="D62" i="2"/>
  <c r="C62" i="2"/>
  <c r="B62" i="2"/>
  <c r="D61" i="2"/>
  <c r="C61" i="2"/>
  <c r="B61" i="2"/>
  <c r="D60" i="2"/>
  <c r="C60" i="2"/>
  <c r="B60" i="2"/>
  <c r="D59" i="2"/>
  <c r="C59" i="2"/>
  <c r="B59" i="2"/>
  <c r="D58" i="2"/>
  <c r="C58" i="2"/>
  <c r="B58" i="2"/>
  <c r="D57" i="2"/>
  <c r="C57" i="2"/>
  <c r="B57" i="2"/>
  <c r="D56" i="2"/>
  <c r="C56" i="2"/>
  <c r="B56" i="2"/>
  <c r="D55" i="2"/>
  <c r="C55" i="2"/>
  <c r="B55" i="2"/>
  <c r="D54" i="2"/>
  <c r="C54" i="2"/>
  <c r="B54" i="2"/>
  <c r="D53" i="2"/>
  <c r="C53" i="2"/>
  <c r="B53" i="2"/>
  <c r="D52" i="2"/>
  <c r="C52" i="2"/>
  <c r="B52" i="2"/>
  <c r="D51" i="2"/>
  <c r="C51" i="2"/>
  <c r="B51" i="2"/>
  <c r="D50" i="2"/>
  <c r="C50" i="2"/>
  <c r="B50" i="2"/>
  <c r="D49" i="2"/>
  <c r="C49" i="2"/>
  <c r="B49" i="2"/>
  <c r="D48" i="2"/>
  <c r="C48" i="2"/>
  <c r="B48" i="2"/>
  <c r="D47" i="2"/>
  <c r="C47" i="2"/>
  <c r="B47" i="2"/>
  <c r="D46" i="2"/>
  <c r="C46" i="2"/>
  <c r="B46" i="2"/>
  <c r="D45" i="2"/>
  <c r="C45" i="2"/>
  <c r="B45" i="2"/>
  <c r="C44" i="2"/>
  <c r="B44" i="2"/>
  <c r="D43" i="2"/>
  <c r="C43" i="2"/>
  <c r="B43" i="2"/>
  <c r="D42" i="2"/>
  <c r="C42" i="2"/>
  <c r="B42" i="2"/>
  <c r="D41" i="2"/>
  <c r="C41" i="2"/>
  <c r="D40" i="2"/>
  <c r="C40" i="2"/>
  <c r="B40" i="2"/>
  <c r="D39" i="2"/>
  <c r="C39" i="2"/>
  <c r="B39" i="2"/>
  <c r="D38" i="2"/>
  <c r="C38" i="2"/>
  <c r="B38" i="2"/>
  <c r="D37" i="2"/>
  <c r="C37" i="2"/>
  <c r="B37" i="2"/>
  <c r="D36" i="2"/>
  <c r="C36" i="2"/>
  <c r="B36" i="2"/>
  <c r="D35" i="2"/>
  <c r="C35" i="2"/>
  <c r="B35" i="2"/>
  <c r="D34" i="2"/>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C24" i="2"/>
  <c r="B24" i="2"/>
  <c r="D23" i="2"/>
  <c r="C23" i="2"/>
  <c r="B23" i="2"/>
  <c r="D22" i="2"/>
  <c r="C22" i="2"/>
  <c r="B22" i="2"/>
  <c r="D21" i="2"/>
  <c r="C21" i="2"/>
  <c r="B21" i="2"/>
  <c r="D20" i="2"/>
  <c r="C20" i="2"/>
  <c r="B20" i="2"/>
  <c r="D19" i="2"/>
  <c r="C19" i="2"/>
  <c r="B19" i="2"/>
  <c r="D18" i="2"/>
  <c r="C18" i="2"/>
  <c r="B18" i="2"/>
  <c r="D17" i="2"/>
  <c r="C17" i="2"/>
  <c r="B17" i="2"/>
  <c r="D16" i="2"/>
  <c r="C16" i="2"/>
  <c r="B16" i="2"/>
  <c r="D15" i="2"/>
  <c r="C15" i="2"/>
  <c r="B15" i="2"/>
  <c r="D14" i="2"/>
  <c r="C14" i="2"/>
  <c r="B14" i="2"/>
  <c r="C13" i="2"/>
  <c r="B13" i="2"/>
  <c r="D12" i="2"/>
  <c r="C12" i="2"/>
  <c r="B12" i="2"/>
  <c r="D11" i="2"/>
  <c r="C11" i="2"/>
  <c r="B11" i="2"/>
  <c r="D10" i="2"/>
  <c r="C10" i="2"/>
  <c r="B10" i="2"/>
  <c r="D9" i="2"/>
  <c r="C9" i="2"/>
  <c r="B9" i="2"/>
  <c r="D8" i="2"/>
  <c r="C8" i="2"/>
  <c r="B8" i="2"/>
  <c r="D7" i="2"/>
  <c r="C7" i="2"/>
  <c r="B7" i="2"/>
  <c r="D6" i="2"/>
  <c r="C6" i="2"/>
  <c r="B6" i="2"/>
  <c r="B57" i="9"/>
  <c r="B56" i="9"/>
  <c r="B55" i="9"/>
  <c r="B54" i="9"/>
  <c r="B53" i="9"/>
  <c r="B52" i="9"/>
  <c r="B51" i="9"/>
  <c r="B50" i="9"/>
  <c r="B49"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B2" i="9"/>
  <c r="B1" i="9"/>
  <c r="D61" i="3"/>
  <c r="C61" i="3"/>
  <c r="B61" i="3"/>
  <c r="D60" i="3"/>
  <c r="C60" i="3"/>
  <c r="B60" i="3"/>
  <c r="D52" i="3"/>
  <c r="C52" i="3"/>
  <c r="B52" i="3"/>
  <c r="D31" i="3"/>
  <c r="C31" i="3"/>
  <c r="B31" i="3"/>
  <c r="D30" i="3"/>
  <c r="C30" i="3"/>
  <c r="B30" i="3"/>
  <c r="D29" i="3"/>
  <c r="C29" i="3"/>
  <c r="B29" i="3"/>
  <c r="D28" i="3"/>
  <c r="C28" i="3"/>
  <c r="B28" i="3"/>
  <c r="D27" i="3"/>
  <c r="C27" i="3"/>
  <c r="B27" i="3"/>
  <c r="D26" i="3"/>
  <c r="C26" i="3"/>
  <c r="B26" i="3"/>
  <c r="D14" i="3"/>
  <c r="C14" i="3"/>
  <c r="B14" i="3"/>
  <c r="D50" i="3"/>
  <c r="C50" i="3"/>
  <c r="B50" i="3"/>
  <c r="D45" i="3"/>
  <c r="C45" i="3"/>
  <c r="B45" i="3"/>
  <c r="D59" i="3"/>
  <c r="C59" i="3"/>
  <c r="B59" i="3"/>
  <c r="D51" i="3"/>
  <c r="C51" i="3"/>
  <c r="B51" i="3"/>
  <c r="D25" i="3"/>
  <c r="C25" i="3"/>
  <c r="B25" i="3"/>
  <c r="D55" i="3"/>
  <c r="C54" i="3"/>
  <c r="B54" i="3"/>
  <c r="D57" i="3"/>
  <c r="C56" i="3"/>
  <c r="B56" i="3"/>
  <c r="D56" i="3"/>
  <c r="C55" i="3"/>
  <c r="B55" i="3"/>
  <c r="D58" i="3"/>
  <c r="C57" i="3"/>
  <c r="B57" i="3"/>
  <c r="C58" i="3"/>
  <c r="B58" i="3"/>
  <c r="D53" i="3"/>
  <c r="D54" i="3"/>
  <c r="C53" i="3"/>
  <c r="B53" i="3"/>
  <c r="D42" i="3"/>
  <c r="C42" i="3"/>
  <c r="B42" i="3"/>
  <c r="D46" i="3"/>
  <c r="C46" i="3"/>
  <c r="B46" i="3"/>
  <c r="D43" i="3"/>
  <c r="C43" i="3"/>
  <c r="B43" i="3"/>
  <c r="D41" i="3"/>
  <c r="C41" i="3"/>
  <c r="B41" i="3"/>
  <c r="D49" i="3"/>
  <c r="C49" i="3"/>
  <c r="B49" i="3"/>
  <c r="D40" i="3"/>
  <c r="C40" i="3"/>
  <c r="B40" i="3"/>
  <c r="D39" i="3"/>
  <c r="C39" i="3"/>
  <c r="B39" i="3"/>
  <c r="D48" i="3"/>
  <c r="C48" i="3"/>
  <c r="B48" i="3"/>
  <c r="D47" i="3"/>
  <c r="C47" i="3"/>
  <c r="B47" i="3"/>
  <c r="D44" i="3"/>
  <c r="C44" i="3"/>
  <c r="B44" i="3"/>
  <c r="D38" i="3"/>
  <c r="C38" i="3"/>
  <c r="B38" i="3"/>
  <c r="D33" i="3"/>
  <c r="C33" i="3"/>
  <c r="B33" i="3"/>
  <c r="D35" i="3"/>
  <c r="C35" i="3"/>
  <c r="B35" i="3"/>
  <c r="D34" i="3"/>
  <c r="C34" i="3"/>
  <c r="B34" i="3"/>
  <c r="D32" i="3"/>
  <c r="C32" i="3"/>
  <c r="B32" i="3"/>
  <c r="D37" i="3"/>
  <c r="C37" i="3"/>
  <c r="B37" i="3"/>
  <c r="D36" i="3"/>
  <c r="C36" i="3"/>
  <c r="B36" i="3"/>
  <c r="D22" i="3"/>
  <c r="C22" i="3"/>
  <c r="B22" i="3"/>
  <c r="D21" i="3"/>
  <c r="C21" i="3"/>
  <c r="B21" i="3"/>
  <c r="D20" i="3"/>
  <c r="C20" i="3"/>
  <c r="B20" i="3"/>
  <c r="D23" i="3"/>
  <c r="C23" i="3"/>
  <c r="B23" i="3"/>
  <c r="D24" i="3"/>
  <c r="C24" i="3"/>
  <c r="B24" i="3"/>
  <c r="D19" i="3"/>
  <c r="C19" i="3"/>
  <c r="B19" i="3"/>
  <c r="D18" i="3"/>
  <c r="C18" i="3"/>
  <c r="B18" i="3"/>
  <c r="D17" i="3"/>
  <c r="C17" i="3"/>
  <c r="B17" i="3"/>
  <c r="D16" i="3"/>
  <c r="C16" i="3"/>
  <c r="B16" i="3"/>
  <c r="D15" i="3"/>
  <c r="C15" i="3"/>
  <c r="B15" i="3"/>
  <c r="D10" i="3"/>
  <c r="C10" i="3"/>
  <c r="B10" i="3"/>
  <c r="D13" i="3"/>
  <c r="C13" i="3"/>
  <c r="B13" i="3"/>
  <c r="D9" i="3"/>
  <c r="C9" i="3"/>
  <c r="B9" i="3"/>
  <c r="D12" i="3"/>
  <c r="C12" i="3"/>
  <c r="B12" i="3"/>
  <c r="D7" i="3"/>
  <c r="C7" i="3"/>
  <c r="B7" i="3"/>
  <c r="D8" i="3"/>
  <c r="C8" i="3"/>
  <c r="B8" i="3"/>
  <c r="D6" i="3"/>
  <c r="C6" i="3"/>
  <c r="B6" i="3"/>
  <c r="D11" i="3"/>
  <c r="C11" i="3"/>
  <c r="B11" i="3"/>
  <c r="D5" i="3"/>
  <c r="C5" i="3"/>
  <c r="B5" i="3"/>
</calcChain>
</file>

<file path=xl/sharedStrings.xml><?xml version="1.0" encoding="utf-8"?>
<sst xmlns="http://schemas.openxmlformats.org/spreadsheetml/2006/main" count="4619" uniqueCount="4092">
  <si>
    <t>GO:0001504: neurotransmitter uptake, GO:0003333: amino acid transmembrane transport, GO:0005313: L-glutamate transmembrane transporter activity, GO:0005313: L-glutamate transmembrane transporter activity, GO:0005769: early endosome, GO:0006810: transport, GO:0006811: ion transport, GO:0006814: sodium ion transport, GO:0006836: neurotransmitter transport, GO:0008021: synaptic vesicle, GO:0015293: symporter activity, GO:0015807: L-amino acid transport, GO:0015813: L-glutamate transport, GO:0015837: amine transport, GO:0015837: amine transport, GO:0016020: membrane, GO:0016021: integral to membrane, GO:0030054: cell junction, GO:0031410: cytoplasmic vesicle, GO:0043005: neuron projection, GO:0045202: synapse, GO:0055085: transmembrane transport</t>
  </si>
  <si>
    <t>76650_at</t>
  </si>
  <si>
    <t>sulfiredoxin 1 homolog (S. cerevisiae)</t>
  </si>
  <si>
    <t>GO:0000166: nucleotide binding, GO:0003677: DNA binding, GO:0005524: ATP binding, GO:0005737: cytoplasm, GO:0005829: cytosol, GO:0005829: cytosol, GO:0006979: response to oxidative stress, GO:0006979: response to oxidative stress, GO:0016209: antioxidant activity, GO:0016491: oxidoreductase activity, GO:0016667: oxidoreductase activity, acting on a sulfur group of donors, GO:0016667: oxidoreductase activity, acting on a sulfur group of donors, GO:0032542: sulfiredoxin activity, GO:0055114: oxidation-reduction process</t>
  </si>
  <si>
    <t>22113_at</t>
  </si>
  <si>
    <t>pleckstrin homology-like domain, family A, member 2</t>
  </si>
  <si>
    <t>GO:0005543: phospholipid binding, GO:0005737: cytoplasm, GO:0009887: organ morphogenesis, GO:0016020: membrane</t>
  </si>
  <si>
    <t>79235_at</t>
  </si>
  <si>
    <t>lecithin-retinol acyltransferase (phosphatidylcholine-retinol-O-acyltransferase)</t>
  </si>
  <si>
    <t>GO:0001972: retinoic acid binding, GO:0005737: cytoplasm, GO:0005768: endosome, GO:0005771: multivesicular body, GO:0005783: endoplasmic reticulum, GO:0005791: rough endoplasmic reticulum, GO:0006653: 1,2-diacyl-sn-glycero-3-phosphocholine metabolic process, GO:0006776: vitamin A metabolic process, GO:0006776: vitamin A metabolic process, GO:0007601: visual perception, GO:0008152: metabolic process, GO:0008374: O-acyltransferase activity, GO:0009790: embryo development, GO:0016020: membrane, GO:0016021: integral to membrane, GO:0016740: transferase activity, GO:0016746: transferase activity, transferring acyl groups, GO:0019841: retinol binding, GO:0042572: retinol metabolic process, GO:0042572: retinol metabolic process, GO:0042572: retinol metabolic process, GO:0047173: phosphatidylcholine-retinol O-acyltransferase activity, GO:0048471: perinuclear region of cytoplasm, GO:0050896: response to stimulus</t>
  </si>
  <si>
    <t>Symbol</t>
  </si>
  <si>
    <t>Description</t>
  </si>
  <si>
    <t>log2 (expression)</t>
  </si>
  <si>
    <t>Entrez Gene ID</t>
  </si>
  <si>
    <t>Cluster</t>
  </si>
  <si>
    <t>GO Term(s)</t>
  </si>
  <si>
    <t>KEGG Pathway(s)</t>
  </si>
  <si>
    <t>Brainarray probeset ID</t>
  </si>
  <si>
    <t>Mouse Entrez Gene ID</t>
  </si>
  <si>
    <t>70593_at</t>
  </si>
  <si>
    <t>RIKEN cDNA 5730457N03 gene</t>
  </si>
  <si>
    <t>GO:0003682: chromatin binding, GO:0005515: protein binding, GO:0008150: biological_process, GO:0035097: histone methyltransferase complex</t>
  </si>
  <si>
    <t>140919_at</t>
  </si>
  <si>
    <t>solute carrier family 17 (sodium-dependent inorganic phosphate cotransporter), member 6</t>
  </si>
  <si>
    <t>GO:0001618: viral receptor activity, GO:0001948: glycoprotein binding, GO:0003051: angiotensin-mediated drinking behavior, GO:0003081: regulation of systemic arterial blood pressure by renin-angiotensin, GO:0004175: endopeptidase activity, GO:0004180: carboxypeptidase activity, GO:0004180: carboxypeptidase activity, GO:0005576: extracellular region, GO:0005615: extracellular space, GO:0005886: plasma membrane, GO:0006508: proteolysis, GO:0008233: peptidase activity, GO:0008237: metallopeptidase activity, GO:0008241: peptidyl-dipeptidase activity, GO:0009615: response to virus, GO:0009986: cell surface, GO:0016020: membrane, GO:0016021: integral to membrane, GO:0016787: hydrolase activity, GO:0017046: peptide hormone binding, GO:0032800: receptor biosynthetic process, GO:0042277: peptide binding, GO:0046813: virion attachment, binding of host cell surface receptor, GO:0046872: metal ion binding</t>
  </si>
  <si>
    <t>04614: Renin-angiotensin system, 04974: Protein digestion and absorption</t>
  </si>
  <si>
    <t>18104_at</t>
  </si>
  <si>
    <t>NAD(P)H dehydrogenase, quinone 1</t>
  </si>
  <si>
    <t>110648_at</t>
  </si>
  <si>
    <t>LIM homeobox transcription factor 1 alpha</t>
  </si>
  <si>
    <t>GO:0001558: regulation of cell growth, GO:0003677: DNA binding, GO:0003700: sequence-specific DNA binding transcription factor activity, GO:0005634: nucleus, GO:0006351: transcription, DNA-dependent, GO:0006355: regulation of transcription, DNA-dependent, GO:0007275: multicellular organismal development, GO:0007411: axon guidance, GO:0007417: central nervous system development, GO:0007420: brain development, GO:0008270: zinc ion binding, GO:0010468: regulation of gene expression, GO:0021542: dentate gyrus development, GO:0021549: cerebellum development, GO:0021766: hippocampus development, GO:0021953: central nervous system neuron differentiation, GO:0030182: neuron differentiation, GO:0030901: midbrain development, GO:0043565: sequence-specific DNA binding, GO:0045665: negative regulation of neuron differentiation, GO:0046872: metal ion binding, GO:0071542: dopaminergic neuron differentiation</t>
  </si>
  <si>
    <t>GO:0003955: NAD(P)H dehydrogenase (quinone) activity, GO:0003955: NAD(P)H dehydrogenase (quinone) activity, GO:0004784: superoxide dismutase activity, GO:0005737: cytoplasm, GO:0005829: cytosol, GO:0006801: superoxide metabolic process, GO:0006979: response to oxidative stress, GO:0016491: oxidoreductase activity, GO:0043025: neuronal cell body, GO:0043086: negative regulation of catalytic activity, GO:0043525: positive regulation of neuron apoptotic process, GO:0055114: oxidation-reduction process</t>
  </si>
  <si>
    <t>15227_at</t>
  </si>
  <si>
    <t>forkhead box F1</t>
  </si>
  <si>
    <t>00830: Retinol metabolism, 04977: Vitamin digestion and absorption</t>
  </si>
  <si>
    <t>67020_at</t>
  </si>
  <si>
    <t>transmembrane protein 88</t>
  </si>
  <si>
    <t>GO:0003674: molecular_function, GO:0005575: cellular_component, GO:0008150: biological_process, GO:0016020: membrane, GO:0016021: integral to membrane</t>
  </si>
  <si>
    <t>12904_at</t>
  </si>
  <si>
    <t>cellular retinoic acid binding protein II</t>
  </si>
  <si>
    <t>GO:0001972: retinoic acid binding, GO:0001972: retinoic acid binding, GO:0005215: transporter activity, GO:0005634: nucleus, GO:0005737: cytoplasm, GO:0005737: cytoplasm, GO:0005783: endoplasmic reticulum, GO:0005829: cytosol, GO:0006810: transport, GO:0008289: lipid binding, GO:0016918: retinal binding, GO:0019841: retinol binding, GO:0030332: cyclin binding, GO:0035115: embryonic forelimb morphogenesis, GO:0042573: retinoic acid metabolic process</t>
  </si>
  <si>
    <t>70008_at</t>
  </si>
  <si>
    <t>angiotensin I converting enzyme (peptidyl-dipeptidase A) 2</t>
  </si>
  <si>
    <t>GO:0000122: negative regulation of transcription from RNA polymerase II promoter, GO:0001568: blood vessel development, GO:0001570: vasculogenesis, GO:0001701: in utero embryonic development, GO:0001701: in utero embryonic development, GO:0001756: somitogenesis, GO:0002053: positive regulation of mesenchymal cell proliferation, GO:0003197: endocardial cushion development, GO:0003214: cardiac left ventricle morphogenesis, GO:0003677: DNA binding, GO:0003677: DNA binding, GO:0003690: double-stranded DNA binding, GO:0003700: sequence-specific DNA binding transcription factor activity, GO:0003705: RNA polymerase II distal enhancer sequence-specific DNA binding transcription factor activity, GO:0005634: nucleus, GO:0005667: transcription factor complex, GO:0006351: transcription, DNA-dependent, GO:0006355: regulation of transcription, DNA-dependent, GO:0006357: regulation of transcription from RNA polymerase II promoter, GO:0007224: smoothened signaling pathway, GO:0007368: determination of left/right symmetry, GO:0007494: midgut development, GO:0007498: mesoderm development, GO:0007498: mesoderm development, GO:0007507: heart development, GO:0008134: transcription factor binding, GO:0008301: DNA binding, bending, GO:0009887: organ morphogenesis, GO:0010811: positive regulation of cell-substrate adhesion, GO:0014822: detection of wounding, GO:0016337: cell-cell adhesion, GO:0030198: extracellular matrix organization, GO:0030324: lung development, GO:0030324: lung development, GO:0030335: positive regulation of cell migration, GO:0031016: pancreas development, GO:0043305: negative regulation of mast cell degranulation, GO:0043565: sequence-specific DNA binding, GO:0044212: transcription regulatory region DNA binding, GO:0045198: establishment of epithelial cell apical/basal polarity, GO:0045893: positive regulation of transcription, DNA-dependent, GO:0045944: positive regulation of transcription from RNA polymerase II promoter, GO:0045944: positive regulation of transcription from RNA polymerase II promoter, GO:0048286: lung alveolus development, GO:0048371: lateral mesodermal cell differentiation, GO:0048557: embryonic digestive tract morphogenesis, GO:0048565: digestive tract development, GO:0048566: embryonic digestive tract development, GO:0048613: embryonic ectodermal digestive tract morphogenesis, GO:0048617: embryonic foregut morphogenesis, GO:0050728: negative regulation of inflammatory response, GO:0051090: regulation of sequence-specific DNA binding transcription factor activity, GO:0051145: smooth muscle cell differentiation, GO:0051150: regulation of smooth muscle cell differentiation, GO:0051150: regulation of smooth muscle cell differentiation, GO:0060425: lung morphogenesis, GO:0060426: lung vasculature development, GO:0060438: trachea development, GO:0060441: epithelial tube branching involved in lung morphogenesis, GO:0060446: branching involved in open tracheal system development, GO:0060461: right lung morphogenesis, GO:0060463: lung lobe morphogenesis, GO:0060841: venous blood vessel development, GO:0061030: epithelial cell differentiation involved in mammary gland alveolus development, GO:0071345: cellular response to cytokine stimulus, GO:0071407: cellular response to organic cyclic compound, GO:0072001: renal system development, GO:0072189: ureter development, GO:0090131: mesenchyme migration</t>
  </si>
  <si>
    <t>GO:0000155: two-component sensor activity, GO:0000160: two-component signal transduction system (phosphorelay), GO:0004871: signal transducer activity, GO:0005216: ion channel activity, GO:0005244: voltage-gated ion channel activity, GO:0005249: voltage-gated potassium channel activity, GO:0005267: potassium channel activity, GO:0005516: calmodulin binding, GO:0006355: regulation of transcription, DNA-dependent, GO:0006810: transport, GO:0006811: ion transport, GO:0006813: potassium ion transport, GO:0007165: signal transduction, GO:0016020: membrane, GO:0016021: integral to membrane, GO:0034765: regulation of ion transmembrane transport, GO:0055085: transmembrane transport, GO:0071805: potassium ion transmembrane transport</t>
  </si>
  <si>
    <t>15433_at</t>
  </si>
  <si>
    <t>homeobox D13</t>
  </si>
  <si>
    <t>GO:0001501: skeletal system development, GO:0003677: DNA binding, GO:0003682: chromatin binding, GO:0003700: sequence-specific DNA binding transcription factor activity, GO:0005634: nucleus, GO:0006351: transcription, DNA-dependent, GO:0006355: regulation of transcription, DNA-dependent, GO:0007275: multicellular organismal development, GO:0007389: pattern specification process, GO:0007389: pattern specification process, GO:0009952: anterior/posterior pattern specification, GO:0022612: gland morphogenesis, GO:0030326: embryonic limb morphogenesis, GO:0030539: male genitalia development, GO:0035108: limb morphogenesis, GO:0035108: limb morphogenesis, GO:0042127: regulation of cell proliferation, GO:0042733: embryonic digit morphogenesis, GO:0043565: sequence-specific DNA binding, GO:0045944: positive regulation of transcription from RNA polymerase II promoter, GO:0048619: embryonic hindgut morphogenesis, GO:0060527: prostate epithelial cord arborization involved in prostate glandular acinus morphogenesis, GO:0060571: morphogenesis of an epithelial fold, GO:0060602: branch elongation of an epithelium, GO:0060687: regulation of branching involved in prostate gland morphogenesis</t>
  </si>
  <si>
    <t>20614_at</t>
  </si>
  <si>
    <t>synaptosomal-associated protein 25</t>
  </si>
  <si>
    <t>GO:0000149: SNARE binding, GO:0000149: SNARE binding, GO:0005249: voltage-gated potassium channel activity, GO:0005515: protein binding, GO:0005623: cell, GO:0005737: cytoplasm, GO:0005768: endosome, GO:0005802: trans-Golgi network, GO:0005886: plasma membrane, GO:0007269: neurotransmitter secretion, GO:0007616: long-term memory, GO:0008076: voltage-gated potassium channel complex, GO:0015629: actin cytoskeleton, GO:0016020: membrane, GO:0016197: endosomal transport, GO:0017022: myosin binding, GO:0017075: syntaxin-1 binding, GO:0019904: protein domain specific binding, GO:0030027: lamellipodium, GO:0030054: cell junction, GO:0030175: filopodium, GO:0030424: axon, GO:0030426: growth cone, GO:0030431: sleep, GO:0031201: SNARE complex, GO:0034765: regulation of ion transmembrane transport, GO:0043005: neuron projection, GO:0043025: neuronal cell body, GO:0043229: intracellular organelle, GO:0044295: axonal growth cone, GO:0045121: membrane raft, GO:0045202: synapse, GO:0046887: positive regulation of hormone secretion, GO:0047485: protein N-terminus binding, GO:0048471: perinuclear region of cytoplasm, GO:0048791: calcium ion-dependent exocytosis of neurotransmitter, GO:0070032: synaptobrevin 2-SNAP-25-syntaxin-1a-complexin I complex, GO:0070032: synaptobrevin 2-SNAP-25-syntaxin-1a-complexin I complex, GO:0070044: synaptobrevin 2-SNAP-25-syntaxin-1a complex, GO:0071805: potassium ion transmembrane transport</t>
  </si>
  <si>
    <t>04130: SNARE interactions in vesicular transport</t>
  </si>
  <si>
    <t>21387_at</t>
  </si>
  <si>
    <t>T-box 4</t>
  </si>
  <si>
    <t>GO:0001525: angiogenesis, GO:0002009: morphogenesis of an epithelium, GO:0003677: DNA binding, GO:0003700: sequence-specific DNA binding transcription factor activity, GO:0005515: protein binding, GO:0005634: nucleus, GO:0006351: transcription, DNA-dependent, GO:0006355: regulation of transcription, DNA-dependent, GO:0007275: multicellular organismal development, GO:0030324: lung development, GO:0030326: embryonic limb morphogenesis, GO:0035108: limb morphogenesis, GO:0035108: limb morphogenesis, GO:0035108: limb morphogenesis, GO:0048705: skeletal system morphogenesis, GO:0048705: skeletal system morphogenesis</t>
  </si>
  <si>
    <t>21809_at</t>
  </si>
  <si>
    <t>transforming growth factor, beta 3</t>
  </si>
  <si>
    <t>57266_at</t>
  </si>
  <si>
    <t>chemokine (C-X-C motif) ligand 14</t>
  </si>
  <si>
    <t>GO:0005125: cytokine activity, GO:0005576: extracellular region, GO:0005615: extracellular space, GO:0005794: Golgi apparatus, GO:0006955: immune response, GO:0008009: chemokine activity, GO:0048839: inner ear development</t>
  </si>
  <si>
    <t>04060: Cytokine-cytokine receptor interaction, 04062: Chemokine signaling pathway</t>
  </si>
  <si>
    <t>238271_at</t>
  </si>
  <si>
    <t>potassium voltage-gated channel, subfamily H (eag-related), member 5</t>
  </si>
  <si>
    <t>GO:0000187: activation of MAPK activity, GO:0001666: response to hypoxia, GO:0001701: in utero embryonic development, GO:0005114: type II transforming growth factor beta receptor binding, GO:0005576: extracellular region, GO:0005615: extracellular space, GO:0005634: nucleus, GO:0005737: cytoplasm, GO:0006917: induction of apoptosis, GO:0007179: transforming growth factor beta receptor signaling pathway, GO:0007184: SMAD protein import into nucleus, GO:0008083: growth factor activity, GO:0008156: negative regulation of DNA replication, GO:0008285: negative regulation of cell proliferation, GO:0008285: negative regulation of cell proliferation, GO:0009790: embryo development, GO:0009887: organ morphogenesis, GO:0009986: cell surface, GO:0010718: positive regulation of epithelial to mesenchymal transition, GO:0010936: negative regulation of macrophage cytokine production, GO:0030141: secretory granule, GO:0030315: T-tubule, GO:0030512: negative regulation of transforming growth factor beta receptor signaling pathway, GO:0030879: mammary gland development, GO:0031012: extracellular matrix, GO:0031012: extracellular matrix, GO:0032570: response to progesterone stimulus, GO:0032967: positive regulation of collagen biosynthetic process, GO:0034713: type I transforming growth factor beta receptor binding, GO:0042802: identical protein binding, GO:0043025: neuronal cell body, GO:0043065: positive regulation of apoptotic process, GO:0043524: negative regulation of neuron apoptotic process, GO:0043627: response to estrogen stimulus, GO:0045216: cell-cell junction organization, GO:0045740: positive regulation of DNA replication, GO:0045893: positive regulation of transcription, DNA-dependent, GO:0045944: positive regulation of transcription from RNA polymerase II promoter, GO:0046982: protein heterodimerization activity, GO:0048702: embryonic neurocranium morphogenesis, GO:0050431: transforming growth factor beta binding, GO:0050714: positive regulation of protein secretion, GO:0051491: positive regulation of filopodium assembly, GO:0060325: face morphogenesis, GO:0070483: detection of hypoxia, GO:0071363: cellular response to growth factor stimulus</t>
  </si>
  <si>
    <t>GO:0002024: diet induced thermogenesis, GO:0002025: vasodilation by norepinephrine-epinephrine involved in regulation of systemic arterial blood pressure, GO:0004871: signal transducer activity, GO:0004930: G-protein coupled receptor activity, GO:0004935: adrenergic receptor activity, GO:0004939: beta-adrenergic receptor activity, GO:0005634: nucleus, GO:0005886: plasma membrane, GO:0007165: signal transduction, GO:0007186: G-protein coupled receptor signaling pathway, GO:0007189: adenylate cyclase-activating G-protein coupled receptor signaling pathway, GO:0007189: adenylate cyclase-activating G-protein coupled receptor signaling pathway, GO:0007190: activation of adenylate cyclase activity, GO:0009409: response to cold, GO:0015052: beta3-adrenergic receptor activity, GO:0016020: membrane, GO:0016021: integral to membrane, GO:0031649: heat generation, GO:0031699: beta-3 adrenergic receptor binding, GO:0040015: negative regulation of multicellular organism growth, GO:0042755: eating behavior, GO:0042803: protein homodimerization activity, GO:0043235: receptor complex, GO:0043410: positive regulation of MAPK cascade, GO:0050873: brown fat cell differentiation, GO:0051379: epinephrine binding, GO:0051380: norepinephrine binding, GO:0071875: adrenergic receptor signaling pathway</t>
  </si>
  <si>
    <t>04020: Calcium signaling pathway, 04080: Neuroactive ligand-receptor interaction, 04144: Endocytosis, 04970: Salivary secretion</t>
  </si>
  <si>
    <t>56429_at</t>
  </si>
  <si>
    <t>gastrin releasing peptide receptor</t>
  </si>
  <si>
    <t>GO:0004871: signal transducer activity, GO:0004930: G-protein coupled receptor activity, GO:0004946: bombesin receptor activity, GO:0005515: protein binding, GO:0005886: plasma membrane, GO:0007165: signal transduction, GO:0007186: G-protein coupled receptor signaling pathway, GO:0007611: learning or memory, GO:0016020: membrane, GO:0016021: integral to membrane, GO:0031989: bombesin receptor signaling pathway, GO:0035176: social behavior, GO:0042127: regulation of cell proliferation, GO:0042923: neuropeptide binding</t>
  </si>
  <si>
    <t>04020: Calcium signaling pathway, 04080: Neuroactive ligand-receptor interaction</t>
  </si>
  <si>
    <t>20465_at</t>
  </si>
  <si>
    <t>04010: MAPK signaling pathway, 04060: Cytokine-cytokine receptor interaction, 04110: Cell cycle, 04144: Endocytosis, 04350: TGF-beta signaling pathway, 05140: Leishmaniasis, 05142: Chagas disease (American trypanosomiasis), 05144: Malaria, 05145: Toxoplasmosis, 05146: Amoebiasis, 05200: Pathways in cancer, 05210: Colorectal cancer, 05211: Renal cell carcinoma, 05212: Pancreatic cancer, 05220: Chronic myeloid leukemia, 05323: Rheumatoid arthritis, 05410: Hypertrophic cardiomyopathy (HCM), 05414: Dilated cardiomyopathy</t>
  </si>
  <si>
    <t>11556_at</t>
  </si>
  <si>
    <t>adrenergic receptor, beta 3</t>
  </si>
  <si>
    <t>GO:0003674: molecular_function, GO:0004180: carboxypeptidase activity, GO:0004181: metallocarboxypeptidase activity, GO:0005634: nucleus, GO:0005737: cytoplasm, GO:0005886: plasma membrane, GO:0006508: proteolysis, GO:0008150: biological_process, GO:0008233: peptidase activity, GO:0008237: metallopeptidase activity, GO:0008270: zinc ion binding, GO:0016020: membrane, GO:0016787: hydrolase activity, GO:0031225: anchored to membrane, GO:0046872: metal ion binding</t>
  </si>
  <si>
    <t>268709_at</t>
  </si>
  <si>
    <t>family with sequence similarity 107, member A</t>
  </si>
  <si>
    <t>GO:0001558: regulation of cell growth, GO:0003674: molecular_function, GO:0005634: nucleus</t>
  </si>
  <si>
    <t>18387_at</t>
  </si>
  <si>
    <t>opioid receptor, kappa 1</t>
  </si>
  <si>
    <t>dermatopontin</t>
  </si>
  <si>
    <t>GO:0003674: molecular_function, GO:0005576: extracellular region, GO:0005578: proteinaceous extracellular matrix, GO:0005615: extracellular space, GO:0007155: cell adhesion, GO:0008285: negative regulation of cell proliferation, GO:0030199: collagen fibril organization</t>
  </si>
  <si>
    <t>15432_at</t>
  </si>
  <si>
    <t>homeobox D12</t>
  </si>
  <si>
    <t>GO:0001501: skeletal system development, GO:0003677: DNA binding, GO:0003700: sequence-specific DNA binding transcription factor activity, GO:0005515: protein binding, GO:0005634: nucleus, GO:0005667: transcription factor complex, GO:0006351: transcription, DNA-dependent, GO:0006355: regulation of transcription, DNA-dependent, GO:0007275: multicellular organismal development, GO:0007389: pattern specification process, GO:0042733: embryonic digit morphogenesis, GO:0043565: sequence-specific DNA binding</t>
  </si>
  <si>
    <t>320492_at</t>
  </si>
  <si>
    <t>RIKEN cDNA A830018L16 gene</t>
  </si>
  <si>
    <t>GO:0003674: molecular_function, GO:0005575: cellular_component, GO:0007165: signal transduction, GO:0008150: biological_process, GO:0008603: cAMP-dependent protein kinase regulator activity, GO:0045859: regulation of protein kinase activity</t>
  </si>
  <si>
    <t>232748_at</t>
  </si>
  <si>
    <t>family with sequence similarity 115, member C</t>
  </si>
  <si>
    <t>GO:0003674: molecular_function, GO:0005575: cellular_component, GO:0008150: biological_process</t>
  </si>
  <si>
    <t>14829_at</t>
  </si>
  <si>
    <t>GO:0005515: protein binding, GO:0005886: plasma membrane, GO:0007155: cell adhesion, GO:0007162: negative regulation of cell adhesion, GO:0007399: nervous system development, GO:0007626: locomotory behavior, GO:0016020: membrane, GO:0016021: integral to membrane, GO:0030424: axon, GO:0030426: growth cone, GO:0042327: positive regulation of phosphorylation, GO:0048813: dendrite morphogenesis, GO:0048842: positive regulation of axon extension involved in axon guidance, GO:0048842: positive regulation of axon extension involved in axon guidance, GO:0060060: post-embryonic retina morphogenesis in camera-type eye, GO:0070593: dendrite self-avoidance</t>
  </si>
  <si>
    <t>56710_at</t>
  </si>
  <si>
    <t>deleted in bladder cancer 1 (human)</t>
  </si>
  <si>
    <t>GO:0003674: molecular_function, GO:0005737: cytoplasm, GO:0007049: cell cycle, GO:0007050: cell cycle arrest, GO:0008219: cell death, GO:0015630: microtubule cytoskeleton, GO:0045786: negative regulation of cell cycle</t>
  </si>
  <si>
    <t>50779_at</t>
  </si>
  <si>
    <t>regulator of G-protein signaling 6</t>
  </si>
  <si>
    <t>single-minded homolog 2 (Drosophila)</t>
  </si>
  <si>
    <t>GO:0000122: negative regulation of transcription from RNA polymerase II promoter, GO:0003677: DNA binding, GO:0003700: sequence-specific DNA binding transcription factor activity, GO:0004871: signal transducer activity, GO:0005515: protein binding, GO:0005634: nucleus, GO:0005634: nucleus, GO:0006351: transcription, DNA-dependent, GO:0006355: regulation of transcription, DNA-dependent, GO:0007165: signal transduction, GO:0007275: multicellular organismal development, GO:0007399: nervous system development, GO:0009880: embryonic pattern specification, GO:0030154: cell differentiation, GO:0030324: lung development, GO:0045892: negative regulation of transcription, DNA-dependent, GO:0046982: protein heterodimerization activity, GO:0046983: protein dimerization activity</t>
  </si>
  <si>
    <t>70574_at</t>
  </si>
  <si>
    <t>carboxypeptidase M</t>
  </si>
  <si>
    <t>GO:0000988: protein binding transcription factor activity, GO:0001501: skeletal system development, GO:0003677: DNA binding, GO:0003700: sequence-specific DNA binding transcription factor activity, GO:0005634: nucleus, GO:0005667: transcription factor complex, GO:0005730: nucleolus, GO:0005737: cytoplasm, GO:0006351: transcription, DNA-dependent, GO:0006355: regulation of transcription, DNA-dependent, GO:0007275: multicellular organismal development, GO:0014707: branchiomeric skeletal muscle development, GO:0021983: pituitary gland development, GO:0035116: embryonic hindlimb morphogenesis, GO:0035137: hindlimb morphogenesis, GO:0035137: hindlimb morphogenesis, GO:0043565: sequence-specific DNA binding, GO:0045944: positive regulation of transcription from RNA polymerase II promoter, GO:0045944: positive regulation of transcription from RNA polymerase II promoter, GO:0048625: myoblast cell fate commitment, GO:0051216: cartilage development, GO:2001141: regulation of RNA biosynthetic process</t>
  </si>
  <si>
    <t>75600_at</t>
  </si>
  <si>
    <t>calmodulin-like 4</t>
  </si>
  <si>
    <t>GO:0004871: signal transducer activity, GO:0004930: G-protein coupled receptor activity, GO:0004985: opioid receptor activity, GO:0005886: plasma membrane, GO:0006955: immune response, GO:0007165: signal transduction, GO:0007186: G-protein coupled receptor signaling pathway, GO:0007200: phospholipase C-activating G-protein coupled receptor signaling pathway, GO:0016020: membrane, GO:0016021: integral to membrane, GO:0038003: opioid receptor signaling pathway, GO:0038003: opioid receptor signaling pathway, GO:0038048: dynorphin receptor activity, GO:0051607: defense response to virus</t>
  </si>
  <si>
    <t>04080: Neuroactive ligand-receptor interaction</t>
  </si>
  <si>
    <t>13508_at</t>
  </si>
  <si>
    <t>Down syndrome cell adhesion molecule</t>
  </si>
  <si>
    <t>GO:0005509: calcium ion binding</t>
  </si>
  <si>
    <t>14632_at</t>
  </si>
  <si>
    <t>GLI-Kruppel family member GLI1</t>
  </si>
  <si>
    <t>GO:0004871: signal transducer activity, GO:0005096: GTPase activator activity, GO:0005096: GTPase activator activity, GO:0005515: protein binding, GO:0005737: cytoplasm, GO:0005834: heterotrimeric G-protein complex, GO:0005886: plasma membrane, GO:0007165: signal transduction, GO:0007186: G-protein coupled receptor signaling pathway, GO:0009968: negative regulation of signal transduction, GO:0016020: membrane, GO:0035556: intracellular signal transduction, GO:0038032: termination of G-protein coupled receptor signaling pathway, GO:0043547: positive regulation of GTPase activity, GO:0043547: positive regulation of GTPase activity, GO:0045666: positive regulation of neuron differentiation</t>
  </si>
  <si>
    <t>68790_at</t>
  </si>
  <si>
    <t>RIKEN cDNA 1110050K14 gene</t>
  </si>
  <si>
    <t>100503872_at</t>
  </si>
  <si>
    <t>HOX transcript antisense RNA (non-protein coding)</t>
  </si>
  <si>
    <t>240726_at</t>
  </si>
  <si>
    <t>solute carrier organic anion transporter family, member 5A1</t>
  </si>
  <si>
    <t>18740_at</t>
  </si>
  <si>
    <t>paired-like homeodomain transcription factor 1</t>
  </si>
  <si>
    <t>GO:0001649: osteoblast differentiation, GO:0003676: nucleic acid binding, GO:0003677: DNA binding, GO:0003677: DNA binding, GO:0003682: chromatin binding, GO:0003705: RNA polymerase II distal enhancer sequence-specific DNA binding transcription factor activity, GO:0005515: protein binding, GO:0005622: intracellular, GO:0005634: nucleus, GO:0005634: nucleus, GO:0005737: cytoplasm, GO:0005737: cytoplasm, GO:0005737: cytoplasm, GO:0005829: cytosol, GO:0005929: cilium, GO:0006351: transcription, DNA-dependent, GO:0006355: regulation of transcription, DNA-dependent, GO:0007165: signal transduction, GO:0007224: smoothened signaling pathway, GO:0007224: smoothened signaling pathway, GO:0007224: smoothened signaling pathway, GO:0007275: multicellular organismal development, GO:0007283: spermatogenesis, GO:0007418: ventral midline development, GO:0008017: microtubule binding, GO:0008270: zinc ion binding, GO:0008284: positive regulation of cell proliferation, GO:0009913: epidermal cell differentiation, GO:0009953: dorsal/ventral pattern formation, GO:0009954: proximal/distal pattern formation, GO:0021696: cerebellar cortex morphogenesis, GO:0021938: smoothened signaling pathway involved in regulation of cerebellar granule cell precursor cell proliferation, GO:0021983: pituitary gland development, GO:0030154: cell differentiation, GO:0030324: lung development, GO:0044212: transcription regulatory region DNA binding, GO:0045740: positive regulation of DNA replication, GO:0045880: positive regulation of smoothened signaling pathway, GO:0045893: positive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GO:0046872: metal ion binding, GO:0060032: notochord regression, GO:0090090: negative regulation of canonical Wnt receptor signaling pathway</t>
  </si>
  <si>
    <t>GO:0001992: regulation of systemic arterial blood pressure by vasopressin, GO:0002125: maternal aggressive behavior, GO:0003084: positive regulation of systemic arterial blood pressure, GO:0004871: signal transducer activity, GO:0004930: G-protein coupled receptor activity, GO:0005000: vasopressin receptor activity, GO:0005886: plasma membrane, GO:0006950: response to stress, GO:0007165: signal transduction, GO:0007186: G-protein coupled receptor signaling pathway, GO:0007204: elevation of cytosolic calcium ion concentration, GO:0007621: negative regulation of female receptivity, GO:0007625: grooming behavior, GO:0008284: positive regulation of cell proliferation, GO:0010033: response to organic substance, GO:0010035: response to inorganic substance, GO:0010460: positive regulation of heart rate, GO:0014049: positive regulation of glutamate secretion, GO:0016020: membrane, GO:0016021: integral to membrane, GO:0017046: peptide hormone binding, GO:0019722: calcium-mediated signaling, GO:0030307: positive regulation of cell growth, GO:0031394: positive regulation of prostaglandin biosynthetic process, GO:0031410: cytoplasmic vesicle, GO:0031894: V1A vasopressin receptor binding, GO:0032849: positive regulation of cellular pH reduction, GO:0035176: social behavior, GO:0035815: positive regulation of renal sodium excretion, GO:0042711: maternal behavior, GO:0042713: sperm ejaculation, GO:0043084: penile erection, GO:0045777: positive regulation of blood pressure, GO:0045907: positive regulation of vasoconstriction, GO:0051970: negative regulation of transmission of nerve impulse</t>
  </si>
  <si>
    <t>04020: Calcium signaling pathway, 04080: Neuroactive ligand-receptor interaction, 04270: Vascular smooth muscle contraction</t>
  </si>
  <si>
    <t>52389_at</t>
  </si>
  <si>
    <t>G protein-coupled receptor 123</t>
  </si>
  <si>
    <t>sal-like 4 (Drosophila)</t>
  </si>
  <si>
    <t>GO:0000122: negative regulation of transcription from RNA polymerase II promoter, GO:0000792: heterochromatin, GO:0001701: in utero embryonic development, GO:0001833: inner cell mass cell proliferation, GO:0001843: neural tube closure, GO:0001843: neural tube closure, GO:0003281: ventricular septum development, GO:0003281: ventricular septum development, GO:0003676: nucleic acid binding, GO:0003677: DNA binding, GO:0005515: protein binding, GO:0005622: intracellular, GO:0005634: nucleus, GO:0005667: transcription factor complex, GO:0006351: transcription, DNA-dependent, GO:0006355: regulation of transcription, DNA-dependent, GO:0007507: heart development, GO:0008270: zinc ion binding, GO:0009888: tissue development, GO:0019827: stem cell maintenance, GO:0021915: neural tube development, GO:0030326: embryonic limb morphogenesis, GO:0030326: embryonic limb morphogenesis, GO:0043234: protein complex, GO:0045944: positive regulation of transcription from RNA polymerase II promoter, GO:0045944: positive regulation of transcription from RNA polymerase II promoter, GO:0046872: metal ion binding</t>
  </si>
  <si>
    <t>111975_at</t>
  </si>
  <si>
    <t>insulin-like growth factor 2, antisense</t>
  </si>
  <si>
    <t>16985_at</t>
  </si>
  <si>
    <t>lymphocyte specific 1</t>
  </si>
  <si>
    <t>GO:0003779: actin binding, GO:0004871: signal transducer activity, GO:0005794: Golgi apparatus, GO:0005886: plasma membrane, GO:0006915: apoptotic process, GO:0006935: chemotaxis, GO:0006952: defense response, GO:0007010: cytoskeleton organization, GO:0007165: signal transduction, GO:0016020: membrane</t>
  </si>
  <si>
    <t>229905_at</t>
  </si>
  <si>
    <t>cysteine conjugate-beta lyase 2</t>
  </si>
  <si>
    <t>04340: Hedgehog signaling pathway, 05200: Pathways in cancer, 05217: Basal cell carcinoma</t>
  </si>
  <si>
    <t>54140_at</t>
  </si>
  <si>
    <t>arginine vasopressin receptor 1A</t>
  </si>
  <si>
    <t>GO:0003824: catalytic activity, GO:0005739: mitochondrion, GO:0006103: 2-oxoglutarate metabolic process, GO:0006520: cellular amino acid metabolic process, GO:0008483: transaminase activity, GO:0009058: biosynthetic process, GO:0016212: kynurenine-oxoglutarate transaminase activity, GO:0016740: transferase activity, GO:0016829: lyase activity, GO:0016847: 1-aminocyclopropane-1-carboxylate synthase activity, GO:0030170: pyridoxal phosphate binding, GO:0042218: 1-aminocyclopropane-1-carboxylate biosynthetic process, GO:0042803: protein homodimerization activity, GO:0047315: kynurenine-glyoxylate transaminase activity, GO:0047804: cysteine-S-conjugate beta-lyase activity, GO:0070189: kynurenine metabolic process, GO:0097052: L-kynurenine metabolic process</t>
  </si>
  <si>
    <t>00380: Tryptophan metabolism, 00450: Selenocompound metabolism, 01100: Metabolic pathways</t>
  </si>
  <si>
    <t>15397_at</t>
  </si>
  <si>
    <t>HOXA11 antisense RNA (non-protein coding)</t>
  </si>
  <si>
    <t>76263_at</t>
  </si>
  <si>
    <t>glutathione S-transferase kappa 1</t>
  </si>
  <si>
    <t>GO:0004364: glutathione transferase activity, GO:0004364: glutathione transferase activity, GO:0004602: glutathione peroxidase activity, GO:0004602: glutathione peroxidase activity, GO:0005102: receptor binding, GO:0005622: intracellular, GO:0005739: mitochondrion, GO:0005743: mitochondrial inner membrane, GO:0005759: mitochondrial matrix, GO:0005777: peroxisome, GO:0006749: glutathione metabolic process, GO:0008152: metabolic process, GO:0015035: protein disulfide oxidoreductase activity, GO:0016740: transferase activity, GO:0043231: intracellular membrane-bounded organelle, GO:0055114: oxidation-reduction process</t>
  </si>
  <si>
    <t>00480: Glutathione metabolism, 00980: Metabolism of xenobiotics by cytochrome P450, 00982: Drug metabolism - cytochrome P450, 04146: Peroxisome</t>
  </si>
  <si>
    <t>227325_at</t>
  </si>
  <si>
    <t>delta/notch-like EGF-related receptor</t>
  </si>
  <si>
    <t>GO:0003674: molecular_function, GO:0005737: cytoplasm, GO:0005886: plasma membrane, GO:0008150: biological_process, GO:0016020: membrane, GO:0016021: integral to membrane</t>
  </si>
  <si>
    <t>99377_at</t>
  </si>
  <si>
    <t>GO:0005112: Notch binding, GO:0005509: calcium ion binding, GO:0005769: early endosome, GO:0005886: plasma membrane, GO:0007219: Notch signaling pathway, GO:0007220: Notch receptor processing, GO:0007275: multicellular organismal development, GO:0010001: glial cell differentiation, GO:0010001: glial cell differentiation, GO:0016020: membrane, GO:0016021: integral to membrane, GO:0030154: cell differentiation, GO:0030425: dendrite, GO:0030425: dendrite, GO:0043025: neuronal cell body, GO:0048741: skeletal muscle fiber development</t>
  </si>
  <si>
    <t>210297_at</t>
  </si>
  <si>
    <t>leucine-rich repeats and calponin homology (CH) domain containing 2</t>
  </si>
  <si>
    <t>22776_at</t>
  </si>
  <si>
    <t>zinc finger, imprinted 1</t>
  </si>
  <si>
    <t>GO:0046872: metal ion binding</t>
  </si>
  <si>
    <t>11468_at</t>
  </si>
  <si>
    <t>actin, gamma 2, smooth muscle, enteric</t>
  </si>
  <si>
    <t>GO:0000166: nucleotide binding, GO:0005524: ATP binding, GO:0005737: cytoplasm, GO:0005856: cytoskeleton, GO:0071944: cell periphery</t>
  </si>
  <si>
    <t>04270: Vascular smooth muscle contraction</t>
  </si>
  <si>
    <t>225908_at</t>
  </si>
  <si>
    <t>predicted gene 98</t>
  </si>
  <si>
    <t>GO:0003677: DNA binding, GO:0003700: sequence-specific DNA binding transcription factor activity, GO:0005634: nucleus, GO:0006351: transcription, DNA-dependent, GO:0006355: regulation of transcription, DNA-dependent, GO:0014003: oligodendrocyte development, GO:0016020: membrane, GO:0016021: integral to membrane, GO:0022010: central nervous system myelination, GO:0030154: cell differentiation, GO:0031643: positive regulation of myelination, GO:0043565: sequence-specific DNA binding, GO:0045893: positive regulation of transcription, DNA-dependent</t>
  </si>
  <si>
    <t>72512_at</t>
  </si>
  <si>
    <t>transmembrane protein 173</t>
  </si>
  <si>
    <t>GO:0002218: activation of innate immune response, GO:0002230: positive regulation of defense response to virus by host, GO:0005515: protein binding, GO:0005737: cytoplasm, GO:0005739: mitochondrion, GO:0005741: mitochondrial outer membrane, GO:0005783: endoplasmic reticulum, GO:0005789: endoplasmic reticulum membrane, GO:0005789: endoplasmic reticulum membrane, GO:0005794: Golgi apparatus, GO:0005886: plasma membrane, GO:0006915: apoptotic process, GO:0008134: transcription factor binding, GO:0016020: membrane, GO:0016021: integral to membrane, GO:0019901: protein kinase binding, GO:0031625: ubiquitin protein ligase binding, GO:0032092: positive regulation of protein binding, GO:0032608: interferon-beta production, GO:0032608: interferon-beta production, GO:0033160: positive regulation of protein import into nucleus, translocation, GO:0035458: cellular response to interferon-beta, GO:0042803: protein homodimerization activity, GO:0042993: positive regulation of transcription factor import into nucleus, GO:0045087: innate immune response, GO:0045087: innate immune response, GO:0045944: positive regulation of transcription from RNA polymerase II promoter, GO:0045944: positive regulation of transcription from RNA polymerase II promoter, GO:0048471: perinuclear region of cytoplasm, GO:0051607: defense response to virus, GO:0051607: defense response to virus, GO:0071360: cellular response to exogenous dsRNA</t>
  </si>
  <si>
    <t>04622: RIG-I-like receptor signaling pathway, 04623: Cytosolic DNA-sensing pathway</t>
  </si>
  <si>
    <t>72395_at</t>
  </si>
  <si>
    <t>RIKEN cDNA 2610028E06 gene</t>
  </si>
  <si>
    <t>14184_at</t>
  </si>
  <si>
    <t>fibroblast growth factor receptor 3</t>
  </si>
  <si>
    <t>GO:0000122: negative regulation of transcription from RNA polymerase II promoter, GO:0000165: MAPK cascade, GO:0000166: nucleotide binding, GO:0001938: positive regulation of endothelial cell proliferation, GO:0002009: morphogenesis of an epithelium, GO:0002089: lens morphogenesis in camera-type eye, GO:0004713: protein tyrosine kinase activity, GO:0004714: transmembrane receptor protein tyrosine kinase activity, GO:0005007: fibroblast growth factor-activated receptor activity, GO:0005007: fibroblast growth factor-activated receptor activity, GO:0005515: protein binding, GO:0005524: ATP binding, GO:0005634: nucleus, GO:0005737: cytoplasm, GO:0005764: lysosome, GO:0005887: integral to plasma membrane, GO:0006468: protein phosphorylation, GO:0007165: signal transduction, GO:0007267: cell-cell signaling, GO:0008284: positive regulation of cell proliferation, GO:0008284: positive regulation of cell proliferation, GO:0008285: negative regulation of cell proliferation, GO:0008285: negative regulation of cell proliferation, GO:0008543: fibroblast growth factor receptor signaling pathway, GO:0008543: fibroblast growth factor receptor signaling pathway, GO:0008543: fibroblast growth factor receptor signaling pathway, GO:0009898: internal side of plasma membrane, GO:0009986: cell surface, GO:0010518: positive regulation of phospholipase activity, GO:0014003: oligodendrocyte development, GO:0016020: membrane, GO:0016021: integral to membrane, GO:0016301: kinase activity, GO:0016310: phosphorylation, GO:0016740: transferase activity, GO:0017134: fibroblast growth factor binding, GO:0018108: peptidyl-tyrosine phosphorylation, GO:0021762: substantia nigra development, GO:0022010: central nervous system myelination, GO:0030154: cell differentiation, GO:0030900: forebrain development, GO:0031398: positive regulation of protein ubiquitination, GO:0035019: somatic stem cell maintenance, GO:0042511: positive regulation of tyrosine phosphorylation of Stat1 protein, GO:0042517: positive regulation of tyrosine phosphorylation of Stat3 protein, GO:0042981: regulation of apoptotic process, GO:0043065: positive regulation of apoptotic process, GO:0043066: negative regulation of apoptotic process, GO:0043410: positive regulation of MAPK cascade, GO:0043410: positive regulation of MAPK cascade, GO:0043552: positive regulation of phosphatidylinositol 3-kinase activity, GO:0045597: positive regulation of cell differentiation, GO:0045839: negative regulation of mitosis, GO:0045879: negative regulation of smoothened signaling pathway, GO:0046777: protein autophosphorylation, GO:0048471: perinuclear region of cytoplasm, GO:0048546: digestive tract morphogenesis, GO:0048678: response to axon injury, GO:0048712: negative regulation of astrocyte differentiation, GO:0048839: inner ear development, GO:0050680: negative regulation of epithelial cell proliferation, GO:0050680: negative regulation of epithelial cell proliferation, GO:0050731: positive regulation of peptidyl-tyrosine phosphorylation, GO:0051216: cartilage development, GO:0060113: inner ear receptor cell differentiation, GO:0060113: inner ear receptor cell differentiation, GO:0060349: bone morphogenesis, GO:0060385: axonogenesis involved in innervation, GO:0061144: alveolar secondary septum development, GO:0070307: lens fiber cell development, GO:0070374: positive regulation of ERK1 and ERK2 cascade, GO:0072148: epithelial cell fate commitment, GO:0090080: positive regulation of MAPKKK cascade by fibroblast growth factor receptor signaling pathway, GO:0090102: cochlea development, GO:0090263: positive regulation of canonical Wnt receptor signaling pathway</t>
  </si>
  <si>
    <t>GO:0000123: histone acetyltransferase complex, GO:0003674: molecular_function, GO:0008270: zinc ion binding, GO:0043966: histone H3 acetylation, GO:0043981: histone H4-K5 acetylation, GO:0043982: histone H4-K8 acetylation, GO:0043983: histone H4-K12 acetylation, GO:0046872: metal ion binding</t>
  </si>
  <si>
    <t>14400_at</t>
  </si>
  <si>
    <t>gamma-aminobutyric acid (GABA) A receptor, subunit beta 1</t>
  </si>
  <si>
    <t>04010: MAPK signaling pathway, 04144: Endocytosis, 04810: Regulation of actin cytoskeleton, 05200: Pathways in cancer, 05219: Bladder cancer</t>
  </si>
  <si>
    <t>64659_at</t>
  </si>
  <si>
    <t>mitochondrial ribosomal protein S14</t>
  </si>
  <si>
    <t>GO:0003735: structural constituent of ribosome, GO:0005622: intracellular, GO:0005739: mitochondrion, GO:0005763: mitochondrial small ribosomal subunit, GO:0005840: ribosome, GO:0006412: translation, GO:0008150: biological_process, GO:0030529: ribonucleoprotein complex</t>
  </si>
  <si>
    <t>66128_at</t>
  </si>
  <si>
    <t>mitochondrial ribosomal protein S36</t>
  </si>
  <si>
    <t>GO:0003674: molecular_function, GO:0005739: mitochondrion, GO:0005739: mitochondrion, GO:0005763: mitochondrial small ribosomal subunit, GO:0005840: ribosome, GO:0008150: biological_process, GO:0030529: ribonucleoprotein complex</t>
  </si>
  <si>
    <t>208994_at</t>
  </si>
  <si>
    <t>family with sequence similarity 83, member B</t>
  </si>
  <si>
    <t>24050_at</t>
  </si>
  <si>
    <t>septin 3</t>
  </si>
  <si>
    <t>GO:0000166: nucleotide binding, GO:0005525: GTP binding, GO:0005737: cytoplasm, GO:0005829: cytosol, GO:0005856: cytoskeleton, GO:0007049: cell cycle, GO:0030054: cell junction, GO:0031105: septin complex, GO:0042734: presynaptic membrane, GO:0045202: synapse, GO:0051301: cell division</t>
  </si>
  <si>
    <t>22223_at</t>
  </si>
  <si>
    <t>ubiquitin carboxy-terminal hydrolase L1</t>
  </si>
  <si>
    <t>GO:0001755: neural crest cell migration, GO:0005515: protein binding, GO:0005886: plasma membrane, GO:0007155: cell adhesion, GO:0007275: multicellular organismal development, GO:0007399: nervous system development, GO:0007411: axon guidance, GO:0007507: heart development, GO:0008201: heparin binding, GO:0016020: membrane, GO:0016021: integral to membrane, GO:0017154: semaphorin receptor activity, GO:0030154: cell differentiation, GO:0030424: axon, GO:0046872: metal ion binding, GO:0050919: negative chemotaxis, GO:0050919: negative chemotaxis, GO:0071526: semaphorin-plexin signaling pathway</t>
  </si>
  <si>
    <t>15398_at</t>
  </si>
  <si>
    <t>homeobox A13</t>
  </si>
  <si>
    <t>GO:0004197: cysteine-type endopeptidase activity, GO:0004221: ubiquitin thiolesterase activity, GO:0005622: intracellular, GO:0005634: nucleus, GO:0005737: cytoplasm, GO:0005737: cytoplasm, GO:0005783: endoplasmic reticulum, GO:0005829: cytosol, GO:0005886: plasma membrane, GO:0006508: proteolysis, GO:0006511: ubiquitin-dependent protein catabolic process, GO:0006950: response to stress, GO:0007409: axonogenesis, GO:0007412: axon target recognition, GO:0007628: adult walking behavior, GO:0007628: adult walking behavior, GO:0008233: peptidase activity, GO:0008234: cysteine-type peptidase activity, GO:0008242: omega peptidase activity, GO:0008283: cell proliferation, GO:0016020: membrane, GO:0016579: protein deubiquitination, GO:0016787: hydrolase activity, GO:0016874: ligase activity, GO:0019233: sensory perception of pain, GO:0019896: axon transport of mitochondrion, GO:0030424: axon, GO:0031694: alpha-2A adrenergic receptor binding, GO:0042755: eating behavior, GO:0043025: neuronal cell body, GO:0043130: ubiquitin binding, GO:0043130: ubiquitin binding, GO:0043231: intracellular membrane-bounded organelle, GO:0043407: negative regulation of MAP kinase activity, GO:0048747: muscle fiber development, GO:0050905: neuromuscular process</t>
  </si>
  <si>
    <t>05012: Parkinson's disease</t>
  </si>
  <si>
    <t>382207_at</t>
  </si>
  <si>
    <t>PHD finger protein 16</t>
  </si>
  <si>
    <t>GO:0004890: GABA-A receptor activity, GO:0005216: ion channel activity, GO:0005230: extracellular ligand-gated ion channel activity, GO:0005253: anion channel activity, GO:0005254: chloride channel activity, GO:0005634: nucleus, GO:0005635: nuclear envelope, GO:0005737: cytoplasm, GO:0005886: plasma membrane, GO:0006810: transport, GO:0006811: ion transport, GO:0006820: anion transport, GO:0006821: chloride transport, GO:0007165: signal transduction, GO:0009636: response to toxin, GO:0016020: membrane, GO:0016021: integral to membrane, GO:0030054: cell junction, GO:0030425: dendrite, GO:0034220: ion transmembrane transport, GO:0034220: ion transmembrane transport, GO:0034707: chloride channel complex, GO:0045202: synapse, GO:0045211: postsynaptic membrane</t>
  </si>
  <si>
    <t>230779_at</t>
  </si>
  <si>
    <t>serine incorporator 2</t>
  </si>
  <si>
    <t>GO:0003674: molecular_function, GO:0005575: cellular_component, GO:0006658: phosphatidylserine metabolic process, GO:0016020: membrane, GO:0016021: integral to membrane, GO:0051347: positive regulation of transferase activity</t>
  </si>
  <si>
    <t>15165_at</t>
  </si>
  <si>
    <t>hyperpolarization-activated, cyclic nucleotide-gated K+ 1</t>
  </si>
  <si>
    <t>GO:0000166: nucleotide binding, GO:0005216: ion channel activity, GO:0005244: voltage-gated ion channel activity, GO:0005249: voltage-gated potassium channel activity, GO:0005267: potassium channel activity, GO:0005272: sodium channel activity, GO:0005515: protein binding, GO:0006810: transport, GO:0006811: ion transport, GO:0006813: potassium ion transport, GO:0006814: sodium ion transport, GO:0016020: membrane, GO:0016021: integral to membrane, GO:0030424: axon, GO:0030425: dendrite, GO:0030552: cAMP binding, GO:0034765: regulation of ion transmembrane transport, GO:0045176: apical protein localization, GO:0046549: retinal cone cell development, GO:0055085: transmembrane transport, GO:0071805: potassium ion transmembrane transport</t>
  </si>
  <si>
    <t>66643_at</t>
  </si>
  <si>
    <t>limb expression 1 homolog (chicken)</t>
  </si>
  <si>
    <t>14397_at</t>
  </si>
  <si>
    <t>gamma-aminobutyric acid (GABA) A receptor, subunit alpha 4</t>
  </si>
  <si>
    <t>GO:0001570: vasculogenesis, GO:0001886: endothelial cell morphogenesis, GO:0001894: tissue homeostasis, GO:0003281: ventricular septum development, GO:0003677: DNA binding, GO:0003700: sequence-specific DNA binding transcription factor activity, GO:0005515: protein binding, GO:0005634: nucleus, GO:0006351: transcription, DNA-dependent, GO:0006355: regulation of transcription, DNA-dependent, GO:0007275: multicellular organismal development, GO:0009653: anatomical structure morphogenesis, GO:0009887: organ morphogenesis, GO:0030510: regulation of BMP signaling pathway, GO:0030539: male genitalia development, GO:0035115: embryonic forelimb morphogenesis, GO:0043065: positive regulation of apoptotic process, GO:0043565: sequence-specific DNA binding, GO:0044212: transcription regulatory region DNA binding, GO:0045840: positive regulation of mitosis, GO:0045944: positive regulation of transcription from RNA polymerase II promoter, GO:0045944: positive regulation of transcription from RNA polymerase II promoter, GO:0048619: embryonic hindgut morphogenesis, GO:0048839: inner ear development, GO:0048844: artery morphogenesis, GO:0060442: branching involved in prostate gland morphogenesis, GO:0060847: endothelial cell fate specification</t>
  </si>
  <si>
    <t>12447_at</t>
  </si>
  <si>
    <t>cyclin E1</t>
  </si>
  <si>
    <t>GO:0004890: GABA-A receptor activity, GO:0005216: ion channel activity, GO:0005230: extracellular ligand-gated ion channel activity, GO:0005254: chloride channel activity, GO:0005886: plasma membrane, GO:0006810: transport, GO:0006811: ion transport, GO:0006821: chloride transport, GO:0007214: gamma-aminobutyric acid signaling pathway, GO:0007417: central nervous system development, GO:0016020: membrane, GO:0016021: integral to membrane, GO:0030054: cell junction, GO:0034220: ion transmembrane transport, GO:0034707: chloride channel complex, GO:0045202: synapse, GO:0045211: postsynaptic membrane, GO:2001023: regulation of response to drug</t>
  </si>
  <si>
    <t>18187_at</t>
  </si>
  <si>
    <t>neuropilin 2</t>
  </si>
  <si>
    <t>GO:0000079: regulation of cyclin-dependent protein kinase activity, GO:0000307: cyclin-dependent protein kinase holoenzyme complex, GO:0005515: protein binding, GO:0005634: nucleus, GO:0005634: nucleus, GO:0005737: cytoplasm, GO:0005813: centrosome, GO:0006270: DNA-dependent DNA replication initiation, GO:0006468: protein phosphorylation, GO:0006468: protein phosphorylation, GO:0007049: cell cycle, GO:0016055: Wnt receptor signaling pathway, GO:0016301: kinase activity, GO:0016538: cyclin-dependent protein kinase regulator activity, GO:0019901: protein kinase binding, GO:0019901: protein kinase binding, GO:0032403: protein complex binding, GO:0045597: positive regulation of cell differentiation, GO:0045859: regulation of protein kinase activity, GO:0051301: cell division, GO:0051726: regulation of cell cycle</t>
  </si>
  <si>
    <t>04110: Cell cycle, 04114: Oocyte meiosis, 04115: p53 signaling pathway, 05200: Pathways in cancer, 05215: Prostate cancer, 05222: Small cell lung cancer</t>
  </si>
  <si>
    <t>20438_at</t>
  </si>
  <si>
    <t>seven in absentia 1B</t>
  </si>
  <si>
    <t>GO:0004842: ubiquitin-protein ligase activity, GO:0005634: nucleus, GO:0005737: cytoplasm, GO:0006511: ubiquitin-dependent protein catabolic process, GO:0007275: multicellular organismal development, GO:0008270: zinc ion binding, GO:0016567: protein ubiquitination, GO:0016874: ligase activity, GO:0046872: metal ion binding</t>
  </si>
  <si>
    <t>04115: p53 signaling pathway, 04120: Ubiquitin mediated proteolysis, 04310: Wnt signaling pathway</t>
  </si>
  <si>
    <t>18741_at</t>
  </si>
  <si>
    <t>paired-like homeodomain transcription factor 2</t>
  </si>
  <si>
    <t>GO:0000122: negative regulation of transcription from RNA polymerase II promoter, GO:0000976: transcription regulatory region sequence-specific DNA binding, GO:0000978: RNA polymerase II core promoter proximal region sequence-specific DNA binding, GO:0000981: sequence-specific DNA binding RNA polymerase II transcription factor activity, GO:0001077: RNA polymerase II core promoter proximal region sequence-specific DNA binding transcription factor activity involved in positive regulation of transcription, GO:0001078: RNA polymerase II core promoter proximal region sequence-specific DNA binding transcription factor activity involved in negative regulation of transcription, GO:0001085: RNA polymerase II transcription factor binding, GO:0001102: RNA polymerase II activating transcription factor binding, GO:0001105: RNA polymerase II transcription coactivator activity, GO:0001191: RNA polymerase II transcription factor binding transcription factor activity involved in negative regulation of transcription, GO:0001569: patterning of blood vessels, GO:0001570: vasculogenesis, GO:0001701: in utero embryonic development, GO:0001764: neuron migration, GO:0002074: extraocular skeletal muscle development, GO:0003171: atrioventricular valve development, GO:0003253: cardiac neural crest cell migration involved in outflow tract morphogenesis, GO:0003350: pulmonary myocardium development, GO:0003677: DNA binding, GO:0003682: chromatin binding, GO:0003700: sequence-specific DNA binding transcription factor activity, GO:0003700: sequence-specific DNA binding transcription factor activity, GO:0005515: protein binding, GO:0005634: nucleus, GO:0005634: nucleus, GO:0005667: transcription factor complex, GO:0005667: transcription factor complex, GO:0005737: cytoplasm, GO:0006355: regulation of transcription, DNA-dependent, GO:0006355: regulation of transcription, DNA-dependent, GO:0006357: regulation of transcription from RNA polymerase II promoter, GO:0007275: multicellular organismal development, GO:0007368: determination of left/right symmetry, GO:0007507: heart development, GO:0007507: heart development, GO:0007519: skeletal muscle tissue development, GO:0007520: myoblast fusion, GO:0008134: transcription factor binding, GO:0009653: anatomical structure morphogenesis, GO:0009887: organ morphogenesis, GO:0016055: Wnt receptor signaling pathway, GO:0021763: subthalamic nucleus development, GO:0021855: hypothalamus cell migration, GO:0021983: pituitary gland development, GO:0030324: lung development, GO:0030334: regulation of cell migration, GO:0031076: embryonic camera-type eye development, GO:0031490: chromatin DNA binding, GO:0035116: embryonic hindlimb morphogenesis, GO:0035886: vascular smooth muscle cell differentiation, GO:0035993: deltoid tuberosity development, GO:0035993: deltoid tuberosity development, GO:0042127: regulation of cell proliferation, GO:0042476: odontogenesis, GO:0042476: odontogenesis, GO:0042803: protein homodimerization activity, GO:0043010: camera-type eye development, GO:0043388: positive regulation of DNA binding, GO:0043565: sequence-specific DNA binding, GO:0045893: positive regulation of transcription, DNA-dependent, GO:0045944: positive regulation of transcription from RNA polymerase II promoter, GO:0045944: positive regulation of transcription from RNA polymerase II promoter, GO:0048536: spleen development, GO:0048557: embryonic digestive tract morphogenesis, GO:0048738: cardiac muscle tissue development, GO:0051219: phosphoprotein binding, GO:0055007: cardiac muscle cell differentiation, GO:0055009: atrial cardiac muscle tissue morphogenesis, GO:0055015: ventricular cardiac muscle cell development, GO:0055123: digestive system development, GO:0060412: ventricular septum morphogenesis, GO:0060460: left lung morphogenesis, GO:0060577: pulmonary vein morphogenesis, GO:0060578: superior vena cava morphogenesis, GO:0061031: endodermal digestive tract morphogenesis, GO:0061072: iris morphogenesis, GO:0061325: cell proliferation involved in outflow tract morphogenesis, GO:0070986: left/right axis specification, GO:2000288: positive regulation of myoblast proliferation</t>
  </si>
  <si>
    <t>04350: TGF-beta signaling pathway</t>
  </si>
  <si>
    <t>21388_at</t>
  </si>
  <si>
    <t>T-box 5</t>
  </si>
  <si>
    <t>GO:0000977: RNA polymerase II regulatory region sequence-specific DNA binding, GO:0002009: morphogenesis of an epithelium, GO:0003166: bundle of His development, GO:0003181: atrioventricular valve morphogenesis, GO:0003197: endocardial cushion development, GO:0003218: cardiac left ventricle formation, GO:0003229: ventricular cardiac muscle tissue development, GO:0003281: ventricular septum development, GO:0003283: atrial septum development, GO:0003677: DNA binding, GO:0003677: DNA binding, GO:0003700: sequence-specific DNA binding transcription factor activity, GO:0003700: sequence-specific DNA binding transcription factor activity, GO:0005515: protein binding, GO:0005634: nucleus, GO:0005634: nucleus, GO:0005667: transcription factor complex, GO:0005737: cytoplasm, GO:0006351: transcription, DNA-dependent, GO:0006355: regulation of transcription, DNA-dependent, GO:0006917: induction of apoptosis, GO:0007267: cell-cell signaling, GO:0007275: multicellular organismal development, GO:0007389: pattern specification process, GO:0007507: heart development, GO:0007507: heart development, GO:0008134: transcription factor binding, GO:0008285: negative regulation of cell proliferation, GO:0030324: lung development, GO:0030326: embryonic limb morphogenesis, GO:0030326: embryonic limb morphogenesis, GO:0030326: embryonic limb morphogenesis, GO:0030336: negative regulation of cell migration, GO:0035115: embryonic forelimb morphogenesis, GO:0035117: embryonic arm morphogenesis, GO:0035136: forelimb morphogenesis, GO:0035136: forelimb morphogenesis, GO:0043565: sequence-specific DNA binding,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GO:0051891: positive regulation of cardioblast differentiation, GO:0055007: cardiac muscle cell differentiation, GO:0055007: cardiac muscle cell differentiation, GO:0060039: pericardium development, GO:0060044: negative regulation of cardiac muscle cell proliferation, GO:0060045: positive regulation of cardiac muscle cell proliferation</t>
  </si>
  <si>
    <t>GO:0003677: DNA binding, GO:0003700: sequence-specific DNA binding transcription factor activity, GO:0005515: protein binding, GO:0005634: nucleus, GO:0005737: cytoplasm, GO:0006351: transcription, DNA-dependent, GO:0006355: regulation of transcription, DNA-dependent, GO:0030529: ribonucleoprotein complex, GO:0043565: sequence-specific DNA binding</t>
  </si>
  <si>
    <t>22139_at</t>
  </si>
  <si>
    <t>transthyretin</t>
  </si>
  <si>
    <t>19094_at</t>
  </si>
  <si>
    <t>mitogen-activated protein kinase 11</t>
  </si>
  <si>
    <t>GO:0000165: MAPK cascade, GO:0000165: MAPK cascade, GO:0000166: nucleotide binding, GO:0004672: protein kinase activity, GO:0004674: protein serine/threonine kinase activity, GO:0004707: MAP kinase activity, GO:0004707: MAP kinase activity, GO:0005515: protein binding, GO:0005524: ATP binding, GO:0005622: intracellular, GO:0005622: intracellular, GO:0005634: nucleus, GO:0005737: cytoplasm, GO:0006351: transcription, DNA-dependent, GO:0006355: regulation of transcription, DNA-dependent, GO:0006468: protein phosphorylation, GO:0006468: protein phosphorylation, GO:0006950: response to stress, GO:0007243: intracellular protein kinase cascade, GO:0007243: intracellular protein kinase cascade, GO:0016301: kinase activity, GO:0016310: phosphorylation, GO:0016740: transferase activity, GO:0016772: transferase activity, transferring phosphorus-containing groups</t>
  </si>
  <si>
    <t>04010: MAPK signaling pathway, 04370: VEGF signaling pathway, 04380: Osteoclast differentiation, 04620: Toll-like receptor signaling pathway, 04621: NOD-like receptor signaling pathway, 04622: RIG-I-like receptor signaling pathway, 04660: T cell receptor signaling pathway, 04664: Fc epsilon RI signaling pathway, 04670: Leukocyte transendothelial migration, 04722: Neurotrophin signaling pathway, 04912: GnRH signaling pathway, 04914: Progesterone-mediated oocyte maturation, 05014: Amyotrophic lateral sclerosis (ALS), 05140: Leishmaniasis, 05142: Chagas disease (American trypanosomiasis), 05145: Toxoplasmosis, 05160: Hepatitis C</t>
  </si>
  <si>
    <t>12778_at</t>
  </si>
  <si>
    <t>chemokine (C-X-C motif) receptor 7</t>
  </si>
  <si>
    <t>GO:0005179: hormone activity, GO:0005576: extracellular region, GO:0005615: extracellular space, GO:0006810: transport, GO:0042562: hormone binding, GO:0042572: retinol metabolic process, GO:0043234: protein complex, GO:0046982: protein heterodimerization activity</t>
  </si>
  <si>
    <t>22413_at</t>
  </si>
  <si>
    <t>wingless-related MMTV integration site 2</t>
  </si>
  <si>
    <t>GO:0004871: signal transducer activity, GO:0004930: G-protein coupled receptor activity, GO:0005737: cytoplasm, GO:0005768: endosome, GO:0005886: plasma membrane, GO:0007155: cell adhesion, GO:0007165: signal transduction, GO:0007186: G-protein coupled receptor signaling pathway, GO:0007275: multicellular organismal development, GO:0016020: membrane, GO:0016021: integral to membrane, GO:0016494: C-X-C chemokine receptor activity, GO:0043066: negative regulation of apoptotic process, GO:0070098: chemokine-mediated signaling pathway</t>
  </si>
  <si>
    <t>04060: Cytokine-cytokine receptor interaction</t>
  </si>
  <si>
    <t>68043_at</t>
  </si>
  <si>
    <t>N-6 adenine-specific DNA methyltransferase 2 (putative)</t>
  </si>
  <si>
    <t>GO:0003674: molecular_function, GO:0003676: nucleic acid binding, GO:0005575: cellular_component, GO:0008150: biological_process, GO:0008168: methyltransferase activity, GO:0016740: transferase activity, GO:0032259: methylation</t>
  </si>
  <si>
    <t>242509_at</t>
  </si>
  <si>
    <t>basonuclin 2</t>
  </si>
  <si>
    <t>GO:0003677: DNA binding, GO:0005622: intracellular, GO:0005634: nucleus, GO:0005634: nucleus, GO:0005737: cytoplasm, GO:0005886: plasma membrane, GO:0006351: transcription, DNA-dependent, GO:0006355: regulation of transcription, DNA-dependent, GO:0008150: biological_process, GO:0008270: zinc ion binding, GO:0046872: metal ion binding</t>
  </si>
  <si>
    <t>71973_at</t>
  </si>
  <si>
    <t>RNA binding protein with multiple splicing 2</t>
  </si>
  <si>
    <t>GO:0000166: nucleotide binding, GO:0003674: molecular_function, GO:0003676: nucleic acid binding, GO:0005575: cellular_component, GO:0008150: biological_process</t>
  </si>
  <si>
    <t>13876_at</t>
  </si>
  <si>
    <t>avian erythroblastosis virus E-26 (v-ets) oncogene related</t>
  </si>
  <si>
    <t>GO:0000122: negative regulation of transcription from RNA polymerase II promoter, GO:0001938: positive regulation of endothelial cell proliferation, GO:0002053: positive regulation of mesenchymal cell proliferation, GO:0005102: receptor binding, GO:0005109: frizzled binding, GO:0005110: frizzled-2 binding, GO:0005125: cytokine activity, GO:0005576: extracellular region, GO:0005578: proteinaceous extracellular matrix, GO:0005615: extracellular space, GO:0005737: cytoplasm, GO:0005886: plasma membrane, GO:0007267: cell-cell signaling, GO:0007275: multicellular organismal development, GO:0008284: positive regulation of cell proliferation, GO:0009950: dorsal/ventral axis specification, GO:0016055: Wnt receptor signaling pathway, GO:0016055: Wnt receptor signaling pathway, GO:0031012: extracellular matrix, GO:0045944: positive regulation of transcription from RNA polymerase II promoter, GO:0048146: positive regulation of fibroblast proliferation, GO:0051091: positive regulation of sequence-specific DNA binding transcription factor activity, GO:0055009: atrial cardiac muscle tissue morphogenesis, GO:0060045: positive regulation of cardiac muscle cell proliferation, GO:0060070: canonical Wnt receptor signaling pathway, GO:0060070: canonical Wnt receptor signaling pathway, GO:0060070: canonical Wnt receptor signaling pathway, GO:0060070: canonical Wnt receptor signaling pathway, GO:0060317: cardiac epithelial to mesenchymal transition, GO:0060492: lung induction, GO:0060501: positive regulation of epithelial cell proliferation involved in lung morphogenesis, GO:0060716: labyrinthine layer blood vessel development, GO:0090263: positive regulation of canonical Wnt receptor signaling pathway</t>
  </si>
  <si>
    <t>04310: Wnt signaling pathway, 04340: Hedgehog signaling pathway, 04916: Melanogenesis, 05200: Pathways in cancer, 05217: Basal cell carcinoma</t>
  </si>
  <si>
    <t>20604_at</t>
  </si>
  <si>
    <t>somatostatin</t>
  </si>
  <si>
    <t>GO:0003824: catalytic activity, GO:0004806: triglyceride lipase activity, GO:0005576: extracellular region, GO:0005615: extracellular space, GO:0006629: lipid metabolic process, GO:0016298: lipase activity, GO:0046872: metal ion binding</t>
  </si>
  <si>
    <t>00561: Glycerolipid metabolism, 01100: Metabolic pathways, 04972: Pancreatic secretion, 04975: Fat digestion and absorption</t>
  </si>
  <si>
    <t>13193_at</t>
  </si>
  <si>
    <t>doublecortin</t>
  </si>
  <si>
    <t>GO:0001764: neuron migration, GO:0001764: neuron migration, GO:0005515: protein binding, GO:0005622: intracellular, GO:0005737: cytoplasm, GO:0005874: microtubule, GO:0007275: multicellular organismal development, GO:0007399: nervous system development, GO:0007420: brain development, GO:0008017: microtubule binding, GO:0019901: protein kinase binding, GO:0021952: central nervous system projection neuron axonogenesis, GO:0030154: cell differentiation, GO:0030425: dendrite, GO:0035556: intracellular signal transduction, GO:0042995: cell projection, GO:0043005: neuron projection, GO:0048675: axon extension, GO:0048813: dendrite morphogenesis</t>
  </si>
  <si>
    <t>108052_at</t>
  </si>
  <si>
    <t>solute carrier family 14 (urea transporter), member 1</t>
  </si>
  <si>
    <t>GO:0005372: water transmembrane transporter activity, GO:0005886: plasma membrane, GO:0006810: transport, GO:0006833: water transport, GO:0006833: water transport, GO:0015204: urea transmembrane transporter activity, GO:0015204: urea transmembrane transporter activity, GO:0015840: urea transport, GO:0015840: urea transport, GO:0016020: membrane, GO:0016021: integral to membrane, GO:0071918: urea transmembrane transport</t>
  </si>
  <si>
    <t>12638_at</t>
  </si>
  <si>
    <t>cystic fibrosis transmembrane conductance regulator</t>
  </si>
  <si>
    <t>30959_at</t>
  </si>
  <si>
    <t>DEAD (Asp-Glu-Ala-Asp) box polypeptide 25</t>
  </si>
  <si>
    <t>GO:0000166: nucleotide binding, GO:0005216: ion channel activity, GO:0005254: chloride channel activity, GO:0005260: channel-conductance-controlling ATPase activity, GO:0005524: ATP binding, GO:0005737: cytoplasm, GO:0005768: endosome, GO:0005769: early endosome, GO:0005902: microvillus, GO:0006200: ATP catabolic process, GO:0006695: cholesterol biosynthetic process, GO:0006810: transport, GO:0006811: ion transport, GO:0006821: chloride transport, GO:0006821: chloride transport, GO:0006821: chloride transport, GO:0006833: water transport, GO:0008152: metabolic process, GO:0015701: bicarbonate transport, GO:0015705: iodide transport, GO:0016020: membrane, GO:0016021: integral to membrane, GO:0016323: basolateral plasma membrane, GO:0016324: apical plasma membrane, GO:0016787: hydrolase activity, GO:0016887: ATPase activity, GO:0017111: nucleoside-triphosphatase activity, GO:0019899: enzyme binding, GO:0030165: PDZ domain binding, GO:0030301: cholesterol transport, GO:0030321: transepithelial chloride transport, GO:0030324: lung development, GO:0030659: cytoplasmic vesicle membrane, GO:0034220: ion transmembrane transport, GO:0034707: chloride channel complex, GO:0042311: vasodilation, GO:0042626: ATPase activity, coupled to transmembrane movement of substances, GO:0043234: protein complex, GO:0045909: positive regulation of vasodilation, GO:0055085: transmembrane transport</t>
  </si>
  <si>
    <t>02010: ABC transporters, 04971: Gastric acid secretion, 04972: Pancreatic secretion, 04976: Bile secretion</t>
  </si>
  <si>
    <t>22773_at</t>
  </si>
  <si>
    <t>zinc finger protein of the cerebellum 3</t>
  </si>
  <si>
    <t>GO:0005179: hormone activity, GO:0005576: extracellular region, GO:0005615: extracellular space, GO:0030334: regulation of cell migration, GO:0043025: neuronal cell body</t>
  </si>
  <si>
    <t>04971: Gastric acid secretion</t>
  </si>
  <si>
    <t>18946_at</t>
  </si>
  <si>
    <t>pancreatic lipase related protein 1</t>
  </si>
  <si>
    <t>GO:0000166: nucleotide binding, GO:0003924: GTPase activity, GO:0005198: structural molecule activity, GO:0005515: protein binding, GO:0005525: GTP binding, GO:0005622: intracellular, GO:0005737: cytoplasm, GO:0005856: cytoskeleton, GO:0005874: microtubule, GO:0006184: GTP catabolic process, GO:0007017: microtubule-based process, GO:0007018: microtubule-based movement, GO:0007067: mitosis, GO:0007411: axon guidance, GO:0007411: axon guidance, GO:0015630: microtubule cytoskeleton, GO:0030182: neuron differentiation, GO:0030424: axon, GO:0042277: peptide binding, GO:0043234: protein complex, GO:0051258: protein polymerization</t>
  </si>
  <si>
    <t>04145: Phagosome, 04540: Gap junction</t>
  </si>
  <si>
    <t>432460_at</t>
  </si>
  <si>
    <t>transmembrane protein 229B pseudogene</t>
  </si>
  <si>
    <t>20472_at</t>
  </si>
  <si>
    <t>sine oculis-related homeobox 2</t>
  </si>
  <si>
    <t>GO:0001947: heart looping, GO:0001947: heart looping, GO:0003676: nucleic acid binding, GO:0003677: DNA binding, GO:0003700: sequence-specific DNA binding transcription factor activity, GO:0003700: sequence-specific DNA binding transcription factor activity, GO:0005515: protein binding, GO:0005622: intracellular, GO:0005634: nucleus, GO:0005737: cytoplasm, GO:0006351: transcription, DNA-dependent, GO:0006355: regulation of transcription, DNA-dependent, GO:0007275: multicellular organismal development, GO:0007368: determination of left/right symmetry, GO:0007368: determination of left/right symmetry, GO:0007368: determination of left/right symmetry, GO:0007389: pattern specification process, GO:0007399: nervous system development, GO:0008270: zinc ion binding, GO:0009952: anterior/posterior pattern specification, GO:0030154: cell differentiation, GO:0035545: determination of left/right asymmetry in nervous system, GO:0043565: sequence-specific DNA binding, GO:0045893: positive regulation of transcription, DNA-dependent, GO:0045944: positive regulation of transcription from RNA polymerase II promoter, GO:0045944: positive regulation of transcription from RNA polymerase II promoter, GO:0046872: metal ion binding</t>
  </si>
  <si>
    <t>GO:0005102: receptor binding, GO:0005109: frizzled binding, GO:0005576: extracellular region, GO:0008201: heparin binding, GO:0016055: Wnt receptor signaling pathway, GO:0050896: response to stimulus, GO:0060070: canonical Wnt receptor signaling pathway, GO:0060670: branching involved in labyrinthine layer morphogenesis</t>
  </si>
  <si>
    <t>244757_at</t>
  </si>
  <si>
    <t>galactosidase, beta 1-like 2</t>
  </si>
  <si>
    <t>GO:0003824: catalytic activity, GO:0004553: hydrolase activity, hydrolyzing O-glycosyl compounds, GO:0004565: beta-galactosidase activity, GO:0005575: cellular_component, GO:0005576: extracellular region, GO:0005975: carbohydrate metabolic process, GO:0008152: metabolic process, GO:0016787: hydrolase activity, GO:0016798: hydrolase activity, acting on glycosyl bonds, GO:0043169: cation binding</t>
  </si>
  <si>
    <t>240119_at</t>
  </si>
  <si>
    <t>beta galactoside alpha 2,6 sialyltransferase 2</t>
  </si>
  <si>
    <t>GO:0003676: nucleic acid binding, GO:0003824: catalytic activity, GO:0004528: phosphodiesterase I activity, GO:0004551: nucleotide diphosphatase activity, GO:0005044: scavenger receptor activity, GO:0005576: extracellular region, GO:0006796: phosphate-containing compound metabolic process, GO:0006898: receptor-mediated endocytosis, GO:0006955: immune response, GO:0008152: metabolic process, GO:0009143: nucleoside triphosphate catabolic process, GO:0016020: membrane, GO:0016021: integral to membrane, GO:0016787: hydrolase activity, GO:0030247: polysaccharide binding, GO:0035529: NADH pyrophosphatase activity, GO:0046872: metal ion binding, GO:0047429: nucleoside-triphosphate diphosphatase activity, GO:0048471: perinuclear region of cytoplasm, GO:0090305: nucleic acid phosphodiester bond hydrolysis</t>
  </si>
  <si>
    <t>00230: Purine metabolism, 00500: Starch and sucrose metabolism, 00740: Riboflavin metabolism, 00760: Nicotinate and nicotinamide metabolism, 00770: Pantothenate and CoA biosynthesis, 01100: Metabolic pathways</t>
  </si>
  <si>
    <t>64707_at</t>
  </si>
  <si>
    <t>suppressor of variegation 3-9 homolog 2 (Drosophila)</t>
  </si>
  <si>
    <t>GO:0003824: catalytic activity, GO:0003835: beta-galactoside alpha-2,6-sialyltransferase activity, GO:0003835: beta-galactoside alpha-2,6-sialyltransferase activity, GO:0005575: cellular_component, GO:0005794: Golgi apparatus, GO:0005975: carbohydrate metabolic process, GO:0006054: N-acetylneuraminate metabolic process, GO:0006486: protein glycosylation, GO:0008373: sialyltransferase activity, GO:0009311: oligosaccharide metabolic process, GO:0016020: membrane, GO:0016021: integral to membrane, GO:0016740: transferase activity, GO:0016757: transferase activity, transferring glycosyl groups, GO:0030173: integral to Golgi membrane</t>
  </si>
  <si>
    <t>00510: N-Glycan biosynthesis, 00514: Other types of O-glycan biosynthesis, 01100: Metabolic pathways</t>
  </si>
  <si>
    <t>104001_at</t>
  </si>
  <si>
    <t>reticulon 1</t>
  </si>
  <si>
    <t>GO:0003674: molecular_function, GO:0005783: endoplasmic reticulum, GO:0008150: biological_process, GO:0016020: membrane, GO:0016021: integral to membrane</t>
  </si>
  <si>
    <t>11438_at</t>
  </si>
  <si>
    <t>GO:0000166: nucleotide binding, GO:0003676: nucleic acid binding, GO:0003723: RNA binding, GO:0003724: RNA helicase activity, GO:0004004: ATP-dependent RNA helicase activity, GO:0004386: helicase activity, GO:0005524: ATP binding, GO:0005634: nucleus, GO:0005634: nucleus, GO:0005737: cytoplasm, GO:0005737: cytoplasm, GO:0006200: ATP catabolic process, GO:0006200: ATP catabolic process, GO:0006406: mRNA export from nucleus, GO:0006417: regulation of translation, GO:0006810: transport, GO:0007275: multicellular organismal development, GO:0007283: spermatogenesis, GO:0007286: spermatid development, GO:0008026: ATP-dependent helicase activity, GO:0008152: metabolic process, GO:0016787: hydrolase activity, GO:0016887: ATPase activity, GO:0030154: cell differentiation, GO:0033391: chromatoid body, GO:0051028: mRNA transport</t>
  </si>
  <si>
    <t>209558_at</t>
  </si>
  <si>
    <t>ectonucleotide pyrophosphatase/phosphodiesterase 3</t>
  </si>
  <si>
    <t>cholinergic receptor, nicotinic, alpha polypeptide 4</t>
  </si>
  <si>
    <t>GO:0001656: metanephros development, GO:0001822: kidney development, GO:0002062: chondrocyte differentiation, GO:0003677: DNA binding, GO:0003700: sequence-specific DNA binding transcription factor activity, GO:0005515: protein binding, GO:0005634: nucleus, GO:0006355: regulation of transcription, DNA-dependent, GO:0006606: protein import into nucleus, GO:0007275: multicellular organismal development, GO:0007501: mesodermal cell fate specification, GO:0008283: cell proliferation, GO:0032403: protein complex binding, GO:0042474: middle ear morphogenesis, GO:0043565: sequence-specific DNA binding, GO:0045596: negative regulation of cell differentiation, GO:0045944: positive regulation of transcription from RNA polymerase II promoter, GO:0048701: embryonic cranial skeleton morphogenesis, GO:0048704: embryonic skeletal system morphogenesis</t>
  </si>
  <si>
    <t>72780_at</t>
  </si>
  <si>
    <t>R-spondin 3 homolog (Xenopus laevis)</t>
  </si>
  <si>
    <t>GO:0000775: chromosome, centromeric region, GO:0000785: chromatin, GO:0003682: chromatin binding, GO:0005634: nucleus, GO:0005694: chromosome, GO:0005720: nuclear heterochromatin, GO:0006333: chromatin assembly or disassembly, GO:0006338: chromatin remodeling, GO:0006351: transcription, DNA-dependent, GO:0006355: regulation of transcription, DNA-dependent, GO:0007049: cell cycle, GO:0008168: methyltransferase activity, GO:0008270: zinc ion binding, GO:0008276: protein methyltransferase activity, GO:0016568: chromatin modification, GO:0016740: transferase activity, GO:0018022: peptidyl-lysine methylation, GO:0018024: histone-lysine N-methyltransferase activity, GO:0030154: cell differentiation, GO:0032259: methylation, GO:0034968: histone lysine methylation, GO:0046974: histone methyltransferase activity (H3-K9 specific), GO:0051567: histone H3-K9 methylation, GO:0051567: histone H3-K9 methylation</t>
  </si>
  <si>
    <t>00310: Lysine degradation</t>
  </si>
  <si>
    <t>76220_at</t>
  </si>
  <si>
    <t>RIKEN cDNA 6530402F18 gene</t>
  </si>
  <si>
    <t>22152_at</t>
  </si>
  <si>
    <t>tubulin, beta 3 class III</t>
  </si>
  <si>
    <t>GO:0001508: regulation of action potential, GO:0001666: response to hypoxia, GO:0004889: acetylcholine-activated cation-selective channel activity, GO:0004889: acetylcholine-activated cation-selective channel activity, GO:0004889: acetylcholine-activated cation-selective channel activity, GO:0004889: acetylcholine-activated cation-selective channel activity, GO:0005216: ion channel activity, GO:0005230: extracellular ligand-gated ion channel activity, GO:0005515: protein binding, GO:0005886: plasma membrane, GO:0005892: acetylcholine-gated channel complex, GO:0005892: acetylcholine-gated channel complex, GO:0005892: acetylcholine-gated channel complex, GO:0006281: DNA repair, GO:0006810: transport, GO:0006811: ion transport, GO:0006812: cation transport, GO:0006816: calcium ion transport, GO:0006979: response to oxidative stress, GO:0007165: signal transduction, GO:0007271: synaptic transmission, cholinergic, GO:0007271: synaptic transmission, cholinergic, GO:0007271: synaptic transmission, cholinergic, GO:0007610: behavior, GO:0007626: locomotory behavior, GO:0009897: external side of plasma membrane, GO:0014059: regulation of dopamine secretion, GO:0015464: acetylcholine receptor activity, GO:0016020: membrane, GO:0016021: integral to membrane, GO:0019233: sensory perception of pain, GO:0019233: sensory perception of pain, GO:0030054: cell junction, GO:0030425: dendrite, GO:0034220: ion transmembrane transport, GO:0034220: ion transmembrane transport, GO:0035094: response to nicotine, GO:0035094: response to nicotine, GO:0035094: response to nicotine, GO:0035095: behavioral response to nicotine, GO:0035095: behavioral response to nicotine, GO:0042113: B cell activation, GO:0042166: acetylcholine binding, GO:0042391: regulation of membrane potential, GO:0043025: neuronal cell body, GO:0045202: synapse, GO:0045211: postsynaptic membrane, GO:0050877: neurological system process, GO:0050877: neurological system process, GO:0050890: cognition, GO:0051899: membrane depolarization, GO:0051899: membrane depolarization, GO:0060080: regulation of inhibitory postsynaptic membrane potential</t>
  </si>
  <si>
    <t>GO:0000166: nucleotide binding, GO:0001676: long-chain fatty acid metabolic process, GO:0003824: catalytic activity, GO:0004467: long-chain fatty acid-CoA ligase activity, GO:0005524: ATP binding, GO:0005739: mitochondrion, GO:0005739: mitochondrion, GO:0005741: mitochondrial outer membrane, GO:0005777: peroxisome, GO:0005778: peroxisomal membrane, GO:0005783: endoplasmic reticulum, GO:0005886: plasma membrane, GO:0006629: lipid metabolic process, GO:0006631: fatty acid metabolic process, GO:0006641: triglyceride metabolic process, GO:0008152: metabolic process, GO:0010033: response to organic substance, GO:0015908: fatty acid transport, GO:0016020: membrane, GO:0016021: integral to membrane, GO:0016874: ligase activity, GO:0033211: adiponectin-mediated signaling pathway, GO:0042178: xenobiotic catabolic process, GO:0043231: intracellular membrane-bounded organelle, GO:0043758: acetate-CoA ligase (ADP-forming) activity, GO:0044539: long-chain fatty acid import, GO:0071902: positive regulation of protein serine/threonine kinase activity</t>
  </si>
  <si>
    <t>GO:0004614: phosphoglucomutase activity, GO:0005829: cytosol, GO:0005975: carbohydrate metabolic process, GO:0006006: glucose metabolic process, GO:0016052: carbohydrate catabolic process, GO:0016310: phosphorylation, GO:0016740: transferase activity, GO:0016853: isomerase activity, GO:0016868: intramolecular transferase activity, phosphotransferases, GO:0047933: glucose-1,6-bisphosphate synthase activity</t>
  </si>
  <si>
    <t>00500: Starch and sucrose metabolism</t>
  </si>
  <si>
    <t>433944_at</t>
  </si>
  <si>
    <t>uncharacterized LOC433944</t>
  </si>
  <si>
    <t>15476_at</t>
  </si>
  <si>
    <t>heparan sulfate (glucosamine) 3-O-sulfotransferase 1</t>
  </si>
  <si>
    <t>GO:0005737: cytoplasm, GO:0005794: Golgi apparatus, GO:0008146: sulfotransferase activity, GO:0008152: metabolic process, GO:0008467: [heparan sulfate]-glucosamine 3-sulfotransferase 1 activity, GO:0016740: transferase activity</t>
  </si>
  <si>
    <t>epidermal growth factor-containing fibulin-like extracellular matrix protein 1</t>
  </si>
  <si>
    <t>GO:0005507: copper ion binding, GO:0005764: lysosome, GO:0005829: cytosol, GO:0006875: cellular metal ion homeostasis, GO:0006882: cellular zinc ion homeostasis, GO:0007263: nitric oxide mediated signal transduction, GO:0008270: zinc ion binding, GO:0008634: negative regulation of survival gene product expression, GO:0010273: detoxification of copper ion, GO:0043524: negative regulation of neuron apoptotic process, GO:0045885: positive regulation of survival gene product expression, GO:0046872: metal ion binding, GO:0071247: cellular response to chromate, GO:0071294: cellular response to zinc ion</t>
  </si>
  <si>
    <t>20515_at</t>
  </si>
  <si>
    <t>GO:0003674: molecular_function, GO:0005575: cellular_component, GO:0006810: transport, GO:0008150: biological_process, GO:0016020: membrane, GO:0016021: integral to membrane</t>
  </si>
  <si>
    <t>70974_at</t>
  </si>
  <si>
    <t>phosphoglucomutase 2-like 1</t>
  </si>
  <si>
    <t>GO:0005216: ion channel activity, GO:0005244: voltage-gated ion channel activity, GO:0005249: voltage-gated potassium channel activity, GO:0005267: potassium channel activity, GO:0005886: plasma membrane, GO:0006810: transport, GO:0006811: ion transport, GO:0006813: potassium ion transport, GO:0008076: voltage-gated potassium channel complex, GO:0016020: membrane, GO:0016021: integral to membrane, GO:0033268: node of Ranvier, GO:0034765: regulation of ion transmembrane transport, GO:0043194: axon initial segment, GO:0055085: transmembrane transport, GO:0060081: membrane hyperpolarization, GO:0071805: potassium ion transmembrane transport</t>
  </si>
  <si>
    <t>00534: Glycosaminoglycan biosynthesis - heparan sulfate</t>
  </si>
  <si>
    <t>GO:0001578: microtubule bundle formation, GO:0002162: dystroglycan binding, GO:0005515: protein binding, GO:0005516: calmodulin binding, GO:0005519: cytoskeletal regulatory protein binding, GO:0005622: intracellular, GO:0005737: cytoplasm, GO:0005856: cytoskeleton, GO:0005874: microtubule, GO:0005875: microtubule associated complex, GO:0007409: axonogenesis, GO:0007409: axonogenesis, GO:0015631: tubulin binding, GO:0016358: dendrite development, GO:0018107: peptidyl-threonine phosphorylation, GO:0030425: dendrite, GO:0030425: dendrite, GO:0034399: nuclear periphery, GO:0043005: neuron projection, GO:0043025: neuronal cell body, GO:0043025: neuronal cell body, GO:0043198: dendritic shaft, GO:0043234: protein complex, GO:0044297: cell body, GO:0071310: cellular response to organic substance</t>
  </si>
  <si>
    <t>17748_at</t>
  </si>
  <si>
    <t>metallothionein 1</t>
  </si>
  <si>
    <t>receptor accessory protein 6</t>
  </si>
  <si>
    <t>GO:0005515: protein binding, GO:0005575: cellular_component, GO:0008150: biological_process, GO:0016020: membrane, GO:0016021: integral to membrane</t>
  </si>
  <si>
    <t>74149_at</t>
  </si>
  <si>
    <t>00071: Fatty acid metabolism, 01100: Metabolic pathways, 03320: PPAR signaling pathway, 04146: Peroxisome, 04920: Adipocytokine signaling pathway</t>
  </si>
  <si>
    <t>110862_at</t>
  </si>
  <si>
    <t>potassium voltage-gated channel, subfamily Q, member 3</t>
  </si>
  <si>
    <t>GO:0005886: plasma membrane, GO:0005887: integral to plasma membrane, GO:0007155: cell adhesion, GO:0007156: homophilic cell adhesion, GO:0016020: membrane, GO:0016021: integral to membrane</t>
  </si>
  <si>
    <t>21386_at</t>
  </si>
  <si>
    <t>T-box 3</t>
  </si>
  <si>
    <t>GO:0001764: neuron migration, GO:0003407: neural retina development, GO:0005262: calcium channel activity, GO:0005886: plasma membrane, GO:0007399: nervous system development, GO:0007416: synapse assembly, GO:0009986: cell surface, GO:0016020: membrane, GO:0016021: integral to membrane, GO:0030175: filopodium, GO:0042995: cell projection, GO:0043005: neuron projection, GO:0043025: neuronal cell body, GO:0044295: axonal growth cone, GO:0048812: neuron projection morphogenesis, GO:0048863: stem cell differentiation, GO:0051491: positive regulation of filopodium assembly, GO:0070588: calcium ion transmembrane transport</t>
  </si>
  <si>
    <t>70335_at</t>
  </si>
  <si>
    <t>234267_at</t>
  </si>
  <si>
    <t>glycoprotein m6a</t>
  </si>
  <si>
    <t>GO:0005006: epidermal growth factor-activated receptor activity, GO:0005154: epidermal growth factor receptor binding, GO:0005509: calcium ion binding, GO:0005576: extracellular region, GO:0005578: proteinaceous extracellular matrix, GO:0005615: extracellular space, GO:0006355: regulation of transcription, DNA-dependent, GO:0007173: epidermal growth factor receptor signaling pathway, GO:0008083: growth factor activity, GO:0018108: peptidyl-tyrosine phosphorylation, GO:0032331: negative regulation of chondrocyte differentiation</t>
  </si>
  <si>
    <t>12805_at</t>
  </si>
  <si>
    <t>contactin 1</t>
  </si>
  <si>
    <t>17756_at</t>
  </si>
  <si>
    <t>microtubule-associated protein 2</t>
  </si>
  <si>
    <t>zinc finger protein 946</t>
  </si>
  <si>
    <t>GO:0003674: molecular_function, GO:0005575: cellular_component, GO:0008150: biological_process, GO:0046872: metal ion binding</t>
  </si>
  <si>
    <t>72511_at</t>
  </si>
  <si>
    <t>RIKEN cDNA 2610316D01 gene</t>
  </si>
  <si>
    <t>100993_at</t>
  </si>
  <si>
    <t>expressed sequence AW549542</t>
  </si>
  <si>
    <t>18526_at</t>
  </si>
  <si>
    <t>protocadherin 10</t>
  </si>
  <si>
    <t>GO:0004871: signal transducer activity, GO:0005315: inorganic phosphate transmembrane transporter activity, GO:0005316: high affinity inorganic phosphate:sodium symporter activity, GO:0005886: plasma membrane, GO:0006810: transport, GO:0006814: sodium ion transport, GO:0006817: phosphate ion transport, GO:0007165: signal transduction, GO:0015293: symporter activity, GO:0016020: membrane, GO:0016021: integral to membrane, GO:0035435: phosphate ion transmembrane transport, GO:0035435: phosphate ion transmembrane transport, GO:0043123: positive regulation of I-kappaB kinase/NF-kappaB cascade, GO:0055085: transmembrane transport, GO:0071436: sodium ion export</t>
  </si>
  <si>
    <t>270097_at</t>
  </si>
  <si>
    <t>215085_at</t>
  </si>
  <si>
    <t>solute carrier family 35, member F1</t>
  </si>
  <si>
    <t>GO:0001948: glycoprotein binding, GO:0005886: plasma membrane, GO:0007155: cell adhesion, GO:0007219: Notch signaling pathway, GO:0010628: positive regulation of gene expression, GO:0010976: positive regulation of neuron projection development, GO:0016020: membrane, GO:0021549: cerebellum development, GO:0030246: carbohydrate binding, GO:0031175: neuron projection development, GO:0031225: anchored to membrane, GO:0090072: positive regulation of sodium ion transport via voltage-gated sodium channel activity</t>
  </si>
  <si>
    <t>04514: Cell adhesion molecules (CAMs)</t>
  </si>
  <si>
    <t>14081_at</t>
  </si>
  <si>
    <t>acyl-CoA synthetase long-chain family member 1</t>
  </si>
  <si>
    <t>solute carrier family 20, member 1</t>
  </si>
  <si>
    <t>vesicle amine transport protein 1 homolog-like (T. californica)</t>
  </si>
  <si>
    <t>GO:0000166: nucleotide binding, GO:0008270: zinc ion binding, GO:0016491: oxidoreductase activity, GO:0055114: oxidation-reduction process</t>
  </si>
  <si>
    <t>100862347_at</t>
  </si>
  <si>
    <t>uncharacterized LOC100862347</t>
  </si>
  <si>
    <t>216616_at</t>
  </si>
  <si>
    <t>GO:0000122: negative regulation of transcription from RNA polymerase II promoter, GO:0001501: skeletal system development, GO:0001568: blood vessel development, GO:0001701: in utero embryonic development, GO:0001947: heart looping, GO:0003007: heart morphogenesis, GO:0003151: outflow tract morphogenesis, GO:0003167: atrioventricular bundle cell differentiation, GO:0003677: DNA binding, GO:0003700: sequence-specific DNA binding transcription factor activity, GO:0005634: nucleus, GO:0005634: nucleus, GO:0005667: transcription factor complex, GO:0006351: transcription, DNA-dependent, GO:0006355: regulation of transcription, DNA-dependent, GO:0006916: anti-apoptosis, GO:0007275: multicellular organismal development, GO:0007569: cell aging, GO:0007569: cell aging, GO:0008284: positive regulation of cell proliferation, GO:0008595: anterior/posterior axis specification, embryo, GO:0009887: organ morphogenesis, GO:0010159: specification of organ position, GO:0019827: stem cell maintenance, GO:0021761: limbic system development, GO:0030539: male genitalia development, GO:0030540: female genitalia development, GO:0030857: negative regulation of epithelial cell differentiation, GO:0030879: mammary gland development, GO:0030879: mammary gland development, GO:0032275: luteinizing hormone secretion, GO:0035108: limb morphogenesis, GO:0035117: embryonic arm morphogenesis, GO:0035136: forelimb morphogenesis, GO:0042127: regulation of cell proliferation, GO:0042733: embryonic digit morphogenesis, GO:0043066: negative regulation of apoptotic process, GO:0043565: sequence-specific DNA binding, GO:0045662: negative regulation of myoblast differentiation, GO:0045787: positive regulation of cell cycle, GO:0045892: negative regulation of transcription, DNA-dependent, GO:0045892: negative regulation of transcription, DNA-dependent, GO:0045892: negative regulation of transcription, DNA-dependent, GO:0045893: positive regulation of transcription, DNA-dependent, GO:0046884: follicle-stimulating hormone secretion, GO:0048332: mesoderm morphogenesis, GO:0055007: cardiac muscle cell differentiation, GO:0060021: palate development, GO:0060412: ventricular septum morphogenesis, GO:0060444: branching involved in mammary gland duct morphogenesis, GO:0060596: mammary placode formation, GO:0060596: mammary placode formation, GO:0060923: cardiac muscle cell fate commitment, GO:0060931: sinoatrial node cell development, GO:2000648: positive regulation of stem cell proliferation</t>
  </si>
  <si>
    <t>GO:0003674: molecular_function, GO:0005794: Golgi apparatus, GO:0005905: coated pit, GO:0006810: transport, GO:0006886: intracellular protein transport, GO:0006897: endocytosis, GO:0008565: protein transporter activity, GO:0015031: protein transport, GO:0016020: membrane, GO:0016192: vesicle-mediated transport, GO:0030117: membrane coat, GO:0031410: cytoplasmic vesicle</t>
  </si>
  <si>
    <t>04142: Lysosome</t>
  </si>
  <si>
    <t>279706_at</t>
  </si>
  <si>
    <t>nucleoporin 62 C-terminal like</t>
  </si>
  <si>
    <t>652925_at</t>
  </si>
  <si>
    <t>RIKEN cDNA 4930420K17 gene</t>
  </si>
  <si>
    <t>100502925_at</t>
  </si>
  <si>
    <t>predicted gene, 19456</t>
  </si>
  <si>
    <t>17863_at</t>
  </si>
  <si>
    <t>myeloblastosis oncogene</t>
  </si>
  <si>
    <t>GO:0000082: G1/S transition of mitotic cell cycle, GO:0000122: negative regulation of transcription from RNA polymerase II promoter, GO:0001701: in utero embryonic development, GO:0003677: DNA binding, GO:0003700: sequence-specific DNA binding transcription factor activity, GO:0003700: sequence-specific DNA binding transcription factor activity, GO:0005515: protein binding, GO:0005634: nucleus, GO:0006338: chromatin remodeling, GO:0006351: transcription, DNA-dependent, GO:0006355: regulation of transcription, DNA-dependent, GO:0006355: regulation of transcription, DNA-dependent, GO:0006816: calcium ion transport, GO:0010468: regulation of gene expression, GO:0030183: B cell differentiation, GO:0045624: positive regulation of T-helper cell differentiation, GO:0045892: negative regulation of transcription, DNA-dependent, GO:0045893: positive regulation of transcription, DNA-dependent, GO:0045944: positive regulation of transcription from RNA polymerase II promoter, GO:0045944: positive regulation of transcription from RNA polymerase II promoter, GO:0048538: thymus development, GO:0048566: embryonic digestive tract development, GO:0048872: homeostasis of number of cells, GO:0051571: positive regulation of histone H3-K4 methylation, GO:0051574: positive regulation of histone H3-K9 methylation</t>
  </si>
  <si>
    <t>18039_at</t>
  </si>
  <si>
    <t>GO:0000226: microtubule cytoskeleton organization, GO:0005198: structural molecule activity, GO:0005200: structural constituent of cytoskeleton, GO:0005515: protein binding, GO:0005882: intermediate filament, GO:0005883: neurofilament, GO:0005883: neurofilament, GO:0008022: protein C-terminus binding, GO:0008089: anterograde axon cargo transport, GO:0008090: retrograde axon cargo transport, GO:0014012: peripheral nervous system axon regeneration, GO:0019896: axon transport of mitochondrion, GO:0019904: protein domain specific binding, GO:0030424: axon, GO:0030424: axon, GO:0030426: growth cone, GO:0031133: regulation of axon diameter, GO:0033693: neurofilament bundle assembly, GO:0040011: locomotion, GO:0042802: identical protein binding, GO:0043005: neuron projection, GO:0043005: neuron projection, GO:0043274: phospholipase binding, GO:0043524: negative regulation of neuron apoptotic process, GO:0045109: intermediate filament organization, GO:0045109: intermediate filament organization, GO:0045110: intermediate filament bundle assembly, GO:0048812: neuron projection morphogenesis, GO:0050772: positive regulation of axonogenesis, GO:0050885: neuromuscular process controlling balance, GO:0051258: protein polymerization, GO:0060052: neurofilament cytoskeleton organization, GO:0060052: neurofilament cytoskeleton organization</t>
  </si>
  <si>
    <t>05014: Amyotrophic lateral sclerosis (ALS)</t>
  </si>
  <si>
    <t>54156_at</t>
  </si>
  <si>
    <t>EGF-like-domain, multiple 6</t>
  </si>
  <si>
    <t>GO:0005509: calcium ion binding, GO:0005576: extracellular region, GO:0005578: proteinaceous extracellular matrix, GO:0005604: basement membrane, GO:0007155: cell adhesion, GO:0007275: multicellular organismal development, GO:0010811: positive regulation of cell-substrate adhesion, GO:0016020: membrane, GO:0030154: cell differentiation, GO:0030198: extracellular matrix organization, GO:0031012: extracellular matrix</t>
  </si>
  <si>
    <t>218820_at</t>
  </si>
  <si>
    <t>zinc finger protein 503</t>
  </si>
  <si>
    <t>108012_at</t>
  </si>
  <si>
    <t>adaptor-related protein complex 1, sigma 2 subunit</t>
  </si>
  <si>
    <t>GO:0004357: glutamate-cysteine ligase activity, GO:0006534: cysteine metabolic process, GO:0006536: glutamate metabolic process, GO:0006749: glutathione metabolic process, GO:0006750: glutathione biosynthetic process, GO:0006750: glutathione biosynthetic process, GO:0006979: response to oxidative stress, GO:0006979: response to oxidative stress, GO:0017109: glutamate-cysteine ligase complex, GO:0017109: glutamate-cysteine ligase complex, GO:0035226: glutamate-cysteine ligase catalytic subunit binding, GO:0035226: glutamate-cysteine ligase catalytic subunit binding, GO:0035229: positive regulation of glutamate-cysteine ligase activity, GO:0035229: positive regulation of glutamate-cysteine ligase activity, GO:0042493: response to drug, GO:0043066: negative regulation of apoptotic process, GO:0043524: negative regulation of neuron apoptotic process, GO:0046982: protein heterodimerization activity, GO:0046982: protein heterodimerization activity, GO:0050880: regulation of blood vessel size, GO:0051409: response to nitrosative stress, GO:0051900: regulation of mitochondrial depolarization</t>
  </si>
  <si>
    <t>00480: Glutathione metabolism, 01100: Metabolic pathways</t>
  </si>
  <si>
    <t>100503676_at</t>
  </si>
  <si>
    <t>GO:0001508: regulation of action potential, GO:0005216: ion channel activity, GO:0005267: potassium channel activity, GO:0005513: detection of calcium ion, GO:0005887: integral to plasma membrane, GO:0005887: integral to plasma membrane, GO:0006810: transport, GO:0006811: ion transport, GO:0006813: potassium ion transport, GO:0008076: voltage-gated potassium channel complex, GO:0008076: voltage-gated potassium channel complex, GO:0015269: calcium-activated potassium channel activity, GO:0015269: calcium-activated potassium channel activity, GO:0016020: membrane, GO:0016021: integral to membrane, GO:0019228: regulation of action potential in neuron, GO:0034220: ion transmembrane transport, GO:0071805: potassium ion transmembrane transport, GO:0071805: potassium ion transmembrane transport, GO:0071805: potassium ion transmembrane transport</t>
  </si>
  <si>
    <t>72902_at</t>
  </si>
  <si>
    <t>sparc/osteonectin, cwcv and kazal-like domains proteoglycan 3</t>
  </si>
  <si>
    <t>GO:0003674: molecular_function, GO:0005575: cellular_component, GO:0006071: glycerol metabolic process, GO:0006629: lipid metabolic process, GO:0008081: phosphoric diester hydrolase activity, GO:0008150: biological_process, GO:0008889: glycerophosphodiester phosphodiesterase activity, GO:0016020: membrane, GO:0016021: integral to membrane, GO:0016787: hydrolase activity, GO:0046872: metal ion binding</t>
  </si>
  <si>
    <t>67874_at</t>
  </si>
  <si>
    <t>reprimo, TP53 dependent G2 arrest mediator candidate</t>
  </si>
  <si>
    <t>GO:0003674: molecular_function, GO:0005737: cytoplasm, GO:0007050: cell cycle arrest, GO:0007346: regulation of mitotic cell cycle, GO:0016020: membrane, GO:0016021: integral to membrane</t>
  </si>
  <si>
    <t>04115: p53 signaling pathway</t>
  </si>
  <si>
    <t>14630_at</t>
  </si>
  <si>
    <t>glutamate-cysteine ligase, modifier subunit</t>
  </si>
  <si>
    <t>neurofilament, light polypeptide</t>
  </si>
  <si>
    <t>GO:0004857: enzyme inhibitor activity, GO:0005509: calcium ion binding, GO:0005539: glycosaminoglycan binding, GO:0005576: extracellular region, GO:0005578: proteinaceous extracellular matrix, GO:0005615: extracellular space, GO:0007165: signal transduction, GO:0008191: metalloendopeptidase inhibitor activity, GO:0010951: negative regulation of endopeptidase activity, GO:0019800: peptide cross-linking via chondroitin 4-sulfate glycosaminoglycan, GO:0031012: extracellular matrix, GO:0043086: negative regulation of catalytic activity</t>
  </si>
  <si>
    <t>12801_at</t>
  </si>
  <si>
    <t>cannabinoid receptor 1 (brain)</t>
  </si>
  <si>
    <t>uncharacterized LOC100503676</t>
  </si>
  <si>
    <t>58802_at</t>
  </si>
  <si>
    <t>potassium large conductance calcium-activated channel, subfamily M, beta member 4</t>
  </si>
  <si>
    <t>GO:0003676: nucleic acid binding, GO:0005622: intracellular, GO:0005634: nucleus, GO:0006351: transcription, DNA-dependent, GO:0006355: regulation of transcription, DNA-dependent, GO:0008270: zinc ion binding, GO:0046872: metal ion binding</t>
  </si>
  <si>
    <t>67149_at</t>
  </si>
  <si>
    <t>Na+/K+ transporting ATPase interacting 1</t>
  </si>
  <si>
    <t>GO:0005886: plasma membrane, GO:0016020: membrane, GO:0016021: integral to membrane</t>
  </si>
  <si>
    <t>66569_at</t>
  </si>
  <si>
    <t>glycerophosphodiester phosphodiesterase domain containing 1</t>
  </si>
  <si>
    <t>GO:0002866: positive regulation of acute inflammatory response to antigenic stimulus, GO:0004871: signal transducer activity, GO:0004930: G-protein coupled receptor activity, GO:0004949: cannabinoid receptor activity, GO:0005886: plasma membrane, GO:0007165: signal transduction, GO:0007186: G-protein coupled receptor signaling pathway, GO:0007188: adenylate cyclase-modulating G-protein coupled receptor signaling pathway, GO:0007568: aging, GO:0007610: behavior, GO:0007611: learning or memory, GO:0007613: memory, GO:0008144: drug binding, GO:0010976: positive regulation of neuron projection development, GO:0016020: membrane, GO:0016021: integral to membrane, GO:0019216: regulation of lipid metabolic process, GO:0019233: sensory perception of pain, GO:0031622: positive regulation of fever generation, GO:0031999: negative regulation of fatty acid beta-oxidation, GO:0032228: regulation of synaptic transmission, GABAergic, GO:0032496: response to lipopolysaccharide, GO:0033004: negative regulation of mast cell activation, GO:0033602: negative regulation of dopamine secretion, GO:0035094: response to nicotine, GO:0038171: cannabinoid signaling pathway, GO:0042220: response to cocaine, GO:0043065: positive regulation of apoptotic process, GO:0043271: negative regulation of ion transport, GO:0043278: response to morphine, GO:0045471: response to ethanol, GO:0045759: negative regulation of action potential, GO:0045776: negative regulation of blood pressure, GO:0045777: positive regulation of blood pressure, GO:0050796: regulation of insulin secretion, GO:0051001: negative regulation of nitric-oxide synthase activity, GO:0051966: regulation of synaptic transmission, glutamatergic, GO:0060259: regulation of feeding behavior, GO:0060405: regulation of penile erection</t>
  </si>
  <si>
    <t>18710_at</t>
  </si>
  <si>
    <t>phosphatidylinositol 3 kinase, regulatory subunit, polypeptide 3 (p55)</t>
  </si>
  <si>
    <t>04012: ErbB signaling pathway, 04062: Chemokine signaling pathway, 04070: Phosphatidylinositol signaling system, 04150: mTOR signaling pathway, 04210: Apoptosis, 04370: VEGF signaling pathway, 04380: Osteoclast differentiation, 04510: Focal adhesion, 04620: Toll-like receptor signaling pathway, 04630: Jak-STAT signaling pathway, 04650: Natural killer cell mediated cytotoxicity, 04660: T cell receptor signaling pathway, 04662: B cell receptor signaling pathway, 04664: Fc epsilon RI signaling pathway, 04666: Fc gamma R-mediated phagocytosis, 04670: Leukocyte transendothelial migration, 04722: Neurotrophin signaling pathway, 04810: Regulation of actin cytoskeleton, 04910: Insulin signaling pathway, 04914: Progesterone-mediated oocyte maturation, 04930: Type II diabetes mellitus, 04960: Aldosterone-regulated sodium reabsorption, 04973: Carbohydrate digestion and absorption, 05100: Bacterial invasion of epithelial cells, 05142: Chagas disease (American trypanosomiasis), 05145: Toxoplasmosis, 05146: Amoebiasis, 05160: Hepatitis C, 05200: Pathways in cancer, 05210: Colorectal cancer, 05211: Renal cell carcinoma, 05212: Pancreatic cancer, 05213: Endometrial cancer, 05214: Glioma, 05215: Prostate cancer, 05218: Melanoma, 05220: Chronic myeloid leukemia, 05221: Acute myeloid leukemia, 05222: Small cell lung cancer, 05223: Non-small cell lung cancer</t>
  </si>
  <si>
    <t>219228_at</t>
  </si>
  <si>
    <t>protocadherin 17</t>
  </si>
  <si>
    <t>GO:0004993: serotonin receptor activity, GO:0005216: ion channel activity, GO:0005230: extracellular ligand-gated ion channel activity, GO:0005232: serotonin-activated cation-selective channel activity, GO:0005249: voltage-gated potassium channel activity, GO:0005737: cytoplasm, GO:0005886: plasma membrane, GO:0006810: transport, GO:0006811: ion transport, GO:0006812: cation transport, GO:0007210: serotonin receptor signaling pathway, GO:0016020: membrane, GO:0016021: integral to membrane, GO:0030054: cell junction, GO:0030424: axon, GO:0034220: ion transmembrane transport, GO:0034220: ion transmembrane transport, GO:0034765: regulation of ion transmembrane transport, GO:0043025: neuronal cell body, GO:0045202: synapse, GO:0045211: postsynaptic membrane, GO:0051378: serotonin binding, GO:0071805: potassium ion transmembrane transport</t>
  </si>
  <si>
    <t>234290_at</t>
  </si>
  <si>
    <t>cDNA sequence BC030500</t>
  </si>
  <si>
    <t>235534_at</t>
  </si>
  <si>
    <t>acid phosphatase-like 2</t>
  </si>
  <si>
    <t>GO:0003674: molecular_function, GO:0003993: acid phosphatase activity, GO:0005575: cellular_component, GO:0005576: extracellular region, GO:0008150: biological_process, GO:0008152: metabolic process, GO:0016311: dephosphorylation, GO:0016787: hydrolase activity</t>
  </si>
  <si>
    <t>74488_at</t>
  </si>
  <si>
    <t>leucine rich repeat containing 15</t>
  </si>
  <si>
    <t>GO:0005622: intracellular, GO:0016020: membrane, GO:0016021: integral to membrane</t>
  </si>
  <si>
    <t>16521_at</t>
  </si>
  <si>
    <t>potassium inwardly-rectifying channel, subfamily J, member 5</t>
  </si>
  <si>
    <t>GO:0005515: protein binding, GO:0005942: phosphatidylinositol 3-kinase complex, GO:0008286: insulin receptor signaling pathway, GO:0016301: kinase activity, GO:0016310: phosphorylation, GO:0035014: phosphatidylinositol 3-kinase regulator activity, GO:0043551: regulation of phosphatidylinositol 3-kinase activity, GO:0043551: regulation of phosphatidylinositol 3-kinase activity, GO:0043551: regulation of phosphatidylinositol 3-kinase activity, GO:0046935: 1-phosphatidylinositol-3-kinase regulator activity, GO:0046935: 1-phosphatidylinositol-3-kinase regulator activity</t>
  </si>
  <si>
    <t>GO:0005576: extracellular region, GO:0005615: extracellular space, GO:0005737: cytoplasm, GO:0005771: multivesicular body, GO:0042803: protein homodimerization activity, GO:0051260: protein homooligomerization, GO:0097208: alveolar lamellar body</t>
  </si>
  <si>
    <t>433323_at</t>
  </si>
  <si>
    <t>sphingosine-1-phosphate phosphotase 2</t>
  </si>
  <si>
    <t>GO:0003824: catalytic activity, GO:0005783: endoplasmic reticulum, GO:0006670: sphingosine metabolic process, GO:0008152: metabolic process, GO:0016020: membrane, GO:0016021: integral to membrane, GO:0016311: dephosphorylation, GO:0016787: hydrolase activity, GO:0042392: sphingosine-1-phosphate phosphatase activity</t>
  </si>
  <si>
    <t>00600: Sphingolipid metabolism</t>
  </si>
  <si>
    <t>104174_at</t>
  </si>
  <si>
    <t>glycine decarboxylase</t>
  </si>
  <si>
    <t>GO:0003824: catalytic activity, GO:0004375: glycine dehydrogenase (decarboxylating) activity, GO:0005739: mitochondrion, GO:0005739: mitochondrion, GO:0005960: glycine cleavage complex, GO:0006520: cellular amino acid metabolic process, GO:0006544: glycine metabolic process, GO:0006546: glycine catabolic process, GO:0016491: oxidoreductase activity, GO:0016594: glycine binding, GO:0016829: lyase activity, GO:0019464: glycine decarboxylation via glycine cleavage system, GO:0019899: enzyme binding, GO:0030170: pyridoxal phosphate binding, GO:0042803: protein homodimerization activity, GO:0046983: protein dimerization activity, GO:0055114: oxidation-reduction process</t>
  </si>
  <si>
    <t>GO:0005886: plasma membrane, GO:0007155: cell adhesion, GO:0016020: membrane, GO:0016021: integral to membrane</t>
  </si>
  <si>
    <t>72669_at</t>
  </si>
  <si>
    <t>RIKEN cDNA 2810032G03 gene</t>
  </si>
  <si>
    <t>56492_at</t>
  </si>
  <si>
    <t>claudin 18</t>
  </si>
  <si>
    <t>GO:0005198: structural molecule activity, GO:0005886: plasma membrane, GO:0005923: tight junction, GO:0016020: membrane, GO:0016021: integral to membrane, GO:0030054: cell junction</t>
  </si>
  <si>
    <t>04514: Cell adhesion molecules (CAMs), 04530: Tight junction, 04670: Leukocyte transendothelial migration, 05160: Hepatitis C</t>
  </si>
  <si>
    <t>15561_at</t>
  </si>
  <si>
    <t>5-hydroxytryptamine (serotonin) receptor 3A</t>
  </si>
  <si>
    <t>GO:0003677: DNA binding, GO:0003690: double-stranded DNA binding, GO:0003700: sequence-specific DNA binding transcription factor activity, GO:0003707: steroid hormone receptor activity, GO:0005496: steroid binding, GO:0005496: steroid binding, GO:0005515: protein binding, GO:0005634: nucleus, GO:0005737: cytoplasm, GO:0006351: transcription, DNA-dependent, GO:0006355: regulation of transcription, DNA-dependent, GO:0006357: regulation of transcription from RNA polymerase II promoter, GO:0006883: cellular sodium ion homeostasis, GO:0007588: excretion, GO:0017082: mineralocorticoid receptor activity, GO:0031959: mineralocorticoid receptor signaling pathway, GO:0042127: regulation of cell proliferation, GO:0042562: hormone binding, GO:0042803: protein homodimerization activity, GO:0043401: steroid hormone mediated signaling pathway, GO:0043565: sequence-specific DNA binding, GO:0046872: metal ion binding, GO:0046982: protein heterodimerization activity</t>
  </si>
  <si>
    <t>04960: Aldosterone-regulated sodium reabsorption</t>
  </si>
  <si>
    <t>14070_at</t>
  </si>
  <si>
    <t>factor 8-associated gene A</t>
  </si>
  <si>
    <t>GO:0005634: nucleus</t>
  </si>
  <si>
    <t>328287_at</t>
  </si>
  <si>
    <t>predicted gene, 20554</t>
  </si>
  <si>
    <t>54376_at</t>
  </si>
  <si>
    <t>calcium channel, voltage-dependent, gamma subunit 3</t>
  </si>
  <si>
    <t>GO:0005216: ion channel activity, GO:0005242: inward rectifier potassium channel activity, GO:0005244: voltage-gated ion channel activity, GO:0006810: transport, GO:0006811: ion transport, GO:0006813: potassium ion transport, GO:0009897: external side of plasma membrane, GO:0015467: G-protein activated inward rectifier potassium channel activity, GO:0016020: membrane, GO:0016021: integral to membrane, GO:0030315: T-tubule, GO:0034765: regulation of ion transmembrane transport, GO:0071805: potassium ion transmembrane transport</t>
  </si>
  <si>
    <t>20389_at</t>
  </si>
  <si>
    <t>surfactant associated protein C</t>
  </si>
  <si>
    <t>GO:0005216: ion channel activity, GO:0005244: voltage-gated ion channel activity, GO:0005262: calcium channel activity, GO:0006810: transport, GO:0006811: ion transport, GO:0006816: calcium ion transport, GO:0016020: membrane, GO:0016021: integral to membrane, GO:0032281: alpha-amino-3-hydroxy-5-methyl-4-isoxazolepropionic acid selective glutamate receptor complex, GO:0034765: regulation of ion transmembrane transport, GO:0070588: calcium ion transmembrane transport, GO:2000311: regulation of alpha-amino-3-hydroxy-5-methyl-4-isoxazole propionate selective glutamate receptor activity</t>
  </si>
  <si>
    <t>04010: MAPK signaling pathway, 04260: Cardiac muscle contraction, 05410: Hypertrophic cardiomyopathy (HCM), 05412: Arrhythmogenic right ventricular cardiomyopathy (ARVC), 05414: Dilated cardiomyopathy</t>
  </si>
  <si>
    <t>228802_at</t>
  </si>
  <si>
    <t>BPI fold containing family B, member 5</t>
  </si>
  <si>
    <t>71721_at</t>
  </si>
  <si>
    <t>family with sequence similarity 13, member C</t>
  </si>
  <si>
    <t>19699_at</t>
  </si>
  <si>
    <t>reelin</t>
  </si>
  <si>
    <t>00260: Glycine, serine and threonine metabolism, 01100: Metabolic pathways</t>
  </si>
  <si>
    <t>71310_at</t>
  </si>
  <si>
    <t>TBC1 domain family, member 9</t>
  </si>
  <si>
    <t>GO:0003674: molecular_function, GO:0005096: GTPase activator activity, GO:0005097: Rab GTPase activator activity, GO:0005509: calcium ion binding, GO:0005575: cellular_component, GO:0005622: intracellular, GO:0008150: biological_process, GO:0032313: regulation of Rab GTPase activity, GO:0032851: positive regulation of Rab GTPase activity, GO:0043547: positive regulation of GTPase activity</t>
  </si>
  <si>
    <t>110784_at</t>
  </si>
  <si>
    <t>nuclear receptor subfamily 3, group C, member 2</t>
  </si>
  <si>
    <t>GO:0000904: cell morphogenesis involved in differentiation, GO:0001764: neuron migration, GO:0001764: neuron migration, GO:0001764: neuron migration, GO:0005576: extracellular region, GO:0005578: proteinaceous extracellular matrix, GO:0005615: extracellular space, GO:0005615: extracellular space, GO:0005737: cytoplasm, GO:0005737: cytoplasm, GO:0006508: proteolysis, GO:0007155: cell adhesion, GO:0007275: multicellular organismal development, GO:0007411: axon guidance, GO:0007417: central nervous system development, GO:0007420: brain development, GO:0007420: brain development, GO:0007616: long-term memory, GO:0007626: locomotory behavior, GO:0007626: locomotory behavior, GO:0008233: peptidase activity, GO:0008236: serine-type peptidase activity, GO:0008306: associative learning, GO:0010001: glial cell differentiation, GO:0010976: positive regulation of neuron projection development, GO:0014068: positive regulation of phosphatidylinositol 3-kinase cascade, GO:0016358: dendrite development, GO:0016358: dendrite development, GO:0016477: cell migration, GO:0016787: hydrolase activity, GO:0018108: peptidyl-tyrosine phosphorylation, GO:0021511: spinal cord patterning, GO:0021542: dentate gyrus development, GO:0021766: hippocampus development, GO:0021800: cerebral cortex tangential migration, GO:0021987: cerebral cortex development, GO:0030424: axon, GO:0030425: dendrite, GO:0030425: dendrite, GO:0030900: forebrain development, GO:0032008: positive regulation of TOR signaling cascade, GO:0032793: positive regulation of CREB transcription factor activity, GO:0035418: protein localization to synapse, GO:0038026: reelin-mediated signaling pathway, GO:0042403: thyroid hormone metabolic process, GO:0043005: neuron projection, GO:0043025: neuronal cell body, GO:0043204: perikaryon, GO:0045860: positive regulation of protein kinase activity, GO:0045860: positive regulation of protein kinase activity, GO:0046872: metal ion binding, GO:0048265: response to pain, GO:0050731: positive regulation of peptidyl-tyrosine phosphorylation, GO:0050795: regulation of behavior, GO:0050804: regulation of synaptic transmission, GO:0051057: positive regulation of small GTPase mediated signal transduction, GO:0051968: positive regulation of synaptic transmission, glutamatergic, GO:0051968: positive regulation of synaptic transmission, glutamatergic, GO:0061003: positive regulation of dendritic spine morphogenesis, GO:0061003: positive regulation of dendritic spine morphogenesis, GO:0061098: positive regulation of protein tyrosine kinase activity, GO:0070325: lipoprotein particle receptor binding, GO:0070326: very-low-density lipoprotein particle receptor binding, GO:0090129: positive regulation of synapse maturation, GO:0097107: postsynaptic density assembly, GO:0097114: N-methyl-D-aspartate receptor clustering, GO:0097119: postsynaptic density protein 95 clustering, GO:0097120: receptor localization to synapse, GO:1900273: positive regulation of long-term synaptic potentiation, GO:2000310: regulation of N-methyl-D-aspartate selective glutamate receptor activity, GO:2000463: positive regulation of excitatory postsynaptic membrane potential, GO:2000463: positive regulation of excitatory postsynaptic membrane potential, GO:2000969: positive regulation of alpha-amino-3-hydroxy-5-methyl-4-isoxazole propionate selective glutamate receptor activity</t>
  </si>
  <si>
    <t>GO:0005575: cellular_component, GO:0005794: Golgi apparatus, GO:0006486: protein glycosylation, GO:0008378: galactosyltransferase activity, GO:0008499: UDP-galactose:beta-N-acetylglucosamine beta-1,3-galactosyltransferase activity, GO:0009312: oligosaccharide biosynthetic process, GO:0016020: membrane, GO:0016021: integral to membrane, GO:0016740: transferase activity, GO:0016757: transferase activity, transferring glycosyl groups</t>
  </si>
  <si>
    <t>00601: Glycosphingolipid biosynthesis - lacto and neolacto series, 01100: Metabolic pathways</t>
  </si>
  <si>
    <t>100503961_at</t>
  </si>
  <si>
    <t>predicted gene, 19990</t>
  </si>
  <si>
    <t>16981_at</t>
  </si>
  <si>
    <t>leucine rich repeat protein 3, neuronal</t>
  </si>
  <si>
    <t>GO:0001934: positive regulation of protein phosphorylation, GO:0005886: plasma membrane, GO:0016020: membrane, GO:0016021: integral to membrane, GO:0030131: clathrin adaptor complex, GO:0032403: protein complex binding</t>
  </si>
  <si>
    <t>67374_at</t>
  </si>
  <si>
    <t>junction adhesion molecule 2</t>
  </si>
  <si>
    <t>GO:0005886: plasma membrane, GO:0005923: tight junction, GO:0007162: negative regulation of cell adhesion, GO:0016020: membrane, GO:0016021: integral to membrane, GO:0030054: cell junction, GO:0046982: protein heterodimerization activity</t>
  </si>
  <si>
    <t>04514: Cell adhesion molecules (CAMs), 04530: Tight junction, 04670: Leukocyte transendothelial migration</t>
  </si>
  <si>
    <t>18585_at</t>
  </si>
  <si>
    <t>phosphodiesterase 9A</t>
  </si>
  <si>
    <t>GO:0003824: catalytic activity, GO:0004114: 3',5'-cyclic-nucleotide phosphodiesterase activity, GO:0005829: cytosol, GO:0007165: signal transduction, GO:0008081: phosphoric diester hydrolase activity, GO:0008152: metabolic process, GO:0008152: metabolic process, GO:0016787: hydrolase activity, GO:0043204: perikaryon, GO:0046872: metal ion binding, GO:0047555: 3',5'-cyclic-GMP phosphodiesterase activity, GO:0047555: 3',5'-cyclic-GMP phosphodiesterase activity</t>
  </si>
  <si>
    <t>00230: Purine metabolism</t>
  </si>
  <si>
    <t>12349_at</t>
  </si>
  <si>
    <t>carbonic anhydrase 2</t>
  </si>
  <si>
    <t>GO:0002009: morphogenesis of an epithelium, GO:0004089: carbonate dehydratase activity, GO:0005615: extracellular space, GO:0005737: cytoplasm, GO:0005829: cytosol, GO:0005902: microvillus, GO:0006730: one-carbon metabolic process, GO:0008152: metabolic process, GO:0008270: zinc ion binding, GO:0015670: carbon dioxide transport, GO:0016323: basolateral plasma membrane, GO:0016829: lyase activity, GO:0030424: axon, GO:0032849: positive regulation of cellular pH reduction, GO:0045177: apical part of cell, GO:0045672: positive regulation of osteoclast differentiation, GO:0045780: positive regulation of bone resorption, GO:0046872: metal ion binding, GO:0046903: secretion</t>
  </si>
  <si>
    <t>00910: Nitrogen metabolism, 04966: Collecting duct acid secretion, 04971: Gastric acid secretion, 04972: Pancreatic secretion, 04976: Bile secretion</t>
  </si>
  <si>
    <t>16658_at</t>
  </si>
  <si>
    <t>v-maf musculoaponeurotic fibrosarcoma oncogene family, protein B (avian)</t>
  </si>
  <si>
    <t>GO:0003677: DNA binding, GO:0003700: sequence-specific DNA binding transcription factor activity, GO:0005515: protein binding, GO:0005634: nucleus, GO:0005667: transcription factor complex, GO:0006351: transcription, DNA-dependent, GO:0006355: regulation of transcription, DNA-dependent, GO:0006357: regulation of transcription from RNA polymerase II promoter, GO:0007379: segment specification, GO:0007585: respiratory gaseous exchange, GO:0008134: transcription factor binding, GO:0021571: rhombomere 5 development, GO:0021572: rhombomere 6 development, GO:0035284: brain segmentation, GO:0042472: inner ear morphogenesis, GO:0043565: sequence-specific DNA binding, GO:0045647: negative regulation of erythrocyte differentiation, GO:0045944: positive regulation of transcription from RNA polymerase II promoter</t>
  </si>
  <si>
    <t>77630_at</t>
  </si>
  <si>
    <t>PR domain containing 8</t>
  </si>
  <si>
    <t>04510: Focal adhesion, 04512: ECM-receptor interaction</t>
  </si>
  <si>
    <t>26878_at</t>
  </si>
  <si>
    <t>UDP-Gal:betaGlcNAc beta 1,3-galactosyltransferase, polypeptide 2</t>
  </si>
  <si>
    <t>GO:0003676: nucleic acid binding, GO:0003677: DNA binding, GO:0003682: chromatin binding, GO:0003714: transcription corepressor activity, GO:0005515: protein binding, GO:0005622: intracellular, GO:0005634: nucleus, GO:0006351: transcription, DNA-dependent, GO:0006355: regulation of transcription, DNA-dependent, GO:0008270: zinc ion binding, GO:0016571: histone methylation, GO:0018022: peptidyl-lysine methylation, GO:0021540: corpus callosum morphogenesis, GO:0021952: central nervous system projection neuron axonogenesis, GO:0021957: corticospinal tract morphogenesis, GO:0022008: neurogenesis, GO:0035097: histone methyltransferase complex, GO:0042054: histone methyltransferase activity, GO:0045892: negative regulation of transcription, DNA-dependent, GO:0045892: negative regulation of transcription, DNA-dependent, GO:0046872: metal ion binding, GO:0046974: histone methyltransferase activity (H3-K9 specific), GO:0051567: histone H3-K9 methylation</t>
  </si>
  <si>
    <t>230959_at</t>
  </si>
  <si>
    <t>adherens junction associated protein 1</t>
  </si>
  <si>
    <t>GO:0003674: molecular_function, GO:0005575: cellular_component, GO:0005886: plasma membrane, GO:0007155: cell adhesion, GO:0008150: biological_process, GO:0016020: membrane, GO:0016021: integral to membrane, GO:0030054: cell junction</t>
  </si>
  <si>
    <t>18708_at</t>
  </si>
  <si>
    <t>phosphatidylinositol 3-kinase, regulatory subunit, polypeptide 1 (p85 alpha)</t>
  </si>
  <si>
    <t>GO:0001934: positive regulation of protein phosphorylation, GO:0001953: negative regulation of cell-matrix adhesion, GO:0005102: receptor binding, GO:0005158: insulin receptor binding, GO:0005159: insulin-like growth factor receptor binding, GO:0005161: platelet-derived growth factor receptor binding, GO:0005168: neurotrophin TRKA receptor binding, GO:0005515: protein binding, GO:0005516: calmodulin binding, GO:0005622: intracellular, GO:0005634: nucleus, GO:0005737: cytoplasm, GO:0005829: cytosol, GO:0005886: plasma membrane, GO:0005942: phosphatidylinositol 3-kinase complex, GO:0005942: phosphatidylinositol 3-kinase complex, GO:0006006: glucose metabolic process, GO:0006468: protein phosphorylation, GO:0007165: signal transduction, GO:0008022: protein C-terminus binding, GO:0008286: insulin receptor signaling pathway, GO:0010459: negative regulation of heart rate, GO:0010628: positive regulation of gene expression, GO:0014065: phosphatidylinositol 3-kinase cascade, GO:0016020: membrane, GO:0016301: kinase activity, GO:0016303: 1-phosphatidylinositol-3-kinase activity, GO:0016303: 1-phosphatidylinositol-3-kinase activity, GO:0016310: phosphorylation, GO:0019901: protein kinase binding, GO:0019903: protein phosphatase binding, GO:0019904: protein domain specific binding, GO:0022408: negative regulation of cell-cell adhesion, GO:0030183: B cell differentiation, GO:0030331: estrogen receptor binding, GO:0030335: positive regulation of cell migration, GO:0030335: positive regulation of cell migration, GO:0030971: receptor tyrosine kinase binding, GO:0031625: ubiquitin protein ligase binding, GO:0032868: response to insulin stimulus, GO:0034644: cellular response to UV, GO:0034644: cellular response to UV, GO:0035014: phosphatidylinositol 3-kinase regulator activity, GO:0036092: phosphatidylinositol-3-phosphate biosynthetic process, GO:0036092: phosphatidylinositol-3-phosphate biosynthetic process, GO:0043065: positive regulation of apoptotic process, GO:0043065: positive regulation of apoptotic process, GO:0043066: negative regulation of apoptotic process, GO:0043066: negative regulation of apoptotic process, GO:0043125: ErbB-3 class receptor binding, GO:0043234: protein complex, GO:0043548: phosphatidylinositol 3-kinase binding, GO:0043551: regulation of phosphatidylinositol 3-kinase activity, GO:0043551: regulation of phosphatidylinositol 3-kinase activity, GO:0043559: insulin binding, GO:0043560: insulin receptor substrate binding, GO:0043560: insulin receptor substrate binding, GO:0045663: positive regulation of myoblast differentiation, GO:0045671: negative regulation of osteoclast differentiation, GO:0045768: positive regulation of anti-apoptosis, GO:0045776: negative regulation of blood pressure, GO:0045861: negative regulation of proteolysis, GO:0045944: positive regulation of transcription from RNA polymerase II promoter, GO:0046854: phosphatidylinositol phosphorylation, GO:0046935: 1-phosphatidylinositol-3-kinase regulator activity, GO:0048009: insulin-like growth factor receptor signaling pathway, GO:0048662: negative regulation of smooth muscle cell proliferation, GO:0051117: ATPase binding, GO:0051219: phosphoprotein binding, GO:0051384: response to glucocorticoid stimulus, GO:0051531: NFAT protein import into nucleus, GO:0051591: response to cAMP, GO:0060396: growth hormone receptor signaling pathway</t>
  </si>
  <si>
    <t>GO:0000122: negative regulation of transcription from RNA polymerase II promoter, GO:0003682: chromatin binding, GO:0003705: RNA polymerase II distal enhancer sequence-specific DNA binding transcription factor activity, GO:0003714: transcription corepressor activity, GO:0003714: transcription corepressor activity, GO:0005515: protein binding, GO:0005634: nucleus, GO:0005634: nucleus, GO:0006351: transcription, DNA-dependent, GO:0006355: regulation of transcription, DNA-dependent, GO:0006357: regulation of transcription from RNA polymerase II promoter, GO:0016055: Wnt receptor signaling pathway, GO:0045892: negative regulation of transcription, DNA-dependent, GO:0070491: repressing transcription factor binding, GO:2001141: regulation of RNA biosynthetic process</t>
  </si>
  <si>
    <t>14199_at</t>
  </si>
  <si>
    <t>four and a half LIM domains 1</t>
  </si>
  <si>
    <t>GO:0005634: nucleus, GO:0005737: cytoplasm, GO:0005886: plasma membrane, GO:0007275: multicellular organismal development, GO:0008270: zinc ion binding, GO:0010972: negative regulation of G2/M transition of mitotic cell cycle, GO:0030154: cell differentiation, GO:0030308: negative regulation of cell growth, GO:0046872: metal ion binding, GO:2000134: negative regulation of G1/S transition of mitotic cell cycle</t>
  </si>
  <si>
    <t>80857_at</t>
  </si>
  <si>
    <t>fibroblast growth factor 20</t>
  </si>
  <si>
    <t>04010: MAPK signaling pathway, 04810: Regulation of actin cytoskeleton, 05200: Pathways in cancer, 05218: Melanoma</t>
  </si>
  <si>
    <t>19726_at</t>
  </si>
  <si>
    <t>regulatory factor X, 3 (influences HLA class II expression)</t>
  </si>
  <si>
    <t>GO:0000790: nuclear chromatin, GO:0000790: nuclear chromatin, GO:0003677: DNA binding, GO:0003700: sequence-specific DNA binding transcription factor activity, GO:0005515: protein binding, GO:0005634: nucleus, GO:0005667: transcription factor complex, GO:0006351: transcription, DNA-dependent, GO:0006355: regulation of transcription, DNA-dependent, GO:0007275: multicellular organismal development, GO:0007368: determination of left/right symmetry, GO:0030154: cell differentiation, GO:0031018: endocrine pancreas development, GO:0042384: cilium assembly, GO:0044212: transcription regulatory region DNA binding, GO:0044212: transcription regulatory region DNA binding, GO:0045892: negative regulation of transcription, DNA-dependent, GO:0045893: positive regulation of transcription, DNA-dependent, GO:0045893: positive regulation of transcription, DNA-dependent, GO:0045944: positive regulation of transcription from RNA polymerase II promoter, GO:0048469: cell maturation, GO:0050796: regulation of insulin secretion, GO:0060285: ciliary cell motility, GO:0060287: epithelial cilium movement involved in determination of left/right asymmetry, GO:0072560: type B pancreatic cell maturation, GO:2000078: positive regulation of type B pancreatic cell development</t>
  </si>
  <si>
    <t>433904_at</t>
  </si>
  <si>
    <t>OCIA domain containing 2</t>
  </si>
  <si>
    <t>622645_at</t>
  </si>
  <si>
    <t>transmembrane protein 200C</t>
  </si>
  <si>
    <t>232431_at</t>
  </si>
  <si>
    <t>G protein-coupled receptor, family C, group 5, member A</t>
  </si>
  <si>
    <t>GO:0003674: molecular_function, GO:0005794: Golgi apparatus, GO:0005886: plasma membrane, GO:0008150: biological_process</t>
  </si>
  <si>
    <t>56788_at</t>
  </si>
  <si>
    <t>signal peptide, CUB domain, EGF-like 2</t>
  </si>
  <si>
    <t>GO:0005509: calcium ion binding, GO:0005576: extracellular region, GO:0005615: extracellular space, GO:0008150: biological_process, GO:0019897: extrinsic to plasma membrane, GO:0042802: identical protein binding</t>
  </si>
  <si>
    <t>21888_at</t>
  </si>
  <si>
    <t>transducin-like enhancer of split 4, homolog of Drosophila E(spl)</t>
  </si>
  <si>
    <t>GO:0001750: photoreceptor outer segment, GO:0005615: extracellular space, GO:0005886: plasma membrane, GO:0005887: integral to plasma membrane, GO:0005902: microvillus, GO:0005903: brush border, GO:0005929: cilium, GO:0009986: cell surface, GO:0009986: cell surface, GO:0010842: retina layer formation, GO:0016020: membrane, GO:0016021: integral to membrane, GO:0016324: apical plasma membrane, GO:0032420: stereocilium, GO:0042622: photoreceptor outer segment membrane, GO:0042805: actinin binding, GO:0042995: cell projection, GO:0045296: cadherin binding, GO:0045494: photoreceptor cell maintenance, GO:0060042: retina morphogenesis in camera-type eye, GO:0060219: camera-type eye photoreceptor cell differentiation, GO:0060219: camera-type eye photoreceptor cell differentiation, GO:0071914: prominosome, GO:0072112: glomerular visceral epithelial cell differentiation, GO:0072139: glomerular parietal epithelial cell differentiation, GO:2000768: positive regulation of nephron tubule epithelial cell differentiation</t>
  </si>
  <si>
    <t>12837_at</t>
  </si>
  <si>
    <t>collagen, type VIII, alpha 1</t>
  </si>
  <si>
    <t>GO:0001525: angiogenesis, GO:0005576: extracellular region, GO:0005578: proteinaceous extracellular matrix, GO:0005581: collagen, GO:0005604: basement membrane, GO:0007155: cell adhesion, GO:0010811: positive regulation of cell-substrate adhesion, GO:0048593: camera-type eye morphogenesis, GO:0050673: epithelial cell proliferation</t>
  </si>
  <si>
    <t>244813_at</t>
  </si>
  <si>
    <t>brain specific homeobox</t>
  </si>
  <si>
    <t>GO:0005104: fibroblast growth factor receptor binding, GO:0005576: extracellular region, GO:0008083: growth factor activity, GO:0008284: positive regulation of cell proliferation, GO:0008543: fibroblast growth factor receptor signaling pathway, GO:0030154: cell differentiation, GO:0060043: regulation of cardiac muscle cell proliferation, GO:0060113: inner ear receptor cell differentiation, GO:0070374: positive regulation of ERK1 and ERK2 cascade</t>
  </si>
  <si>
    <t>GO:0003674: molecular_function, GO:0005581: collagen, GO:0005615: extracellular space, GO:0005886: plasma membrane, GO:0007275: multicellular organismal development, GO:0007399: nervous system development, GO:0008150: biological_process, GO:0016020: membrane, GO:0016021: integral to membrane, GO:0030154: cell differentiation</t>
  </si>
  <si>
    <t>20708_at</t>
  </si>
  <si>
    <t>serine (or cysteine) peptidase inhibitor, clade B, member 6b</t>
  </si>
  <si>
    <t>GO:0004867: serine-type endopeptidase inhibitor activity, GO:0004867: serine-type endopeptidase inhibitor activity, GO:0005622: intracellular, GO:0008406: gonad development, GO:0010951: negative regulation of endopeptidase activity, GO:0010951: negative regulation of endopeptidase activity, GO:0030162: regulation of proteolysis</t>
  </si>
  <si>
    <t>05146: Amoebiasis</t>
  </si>
  <si>
    <t>19668_at</t>
  </si>
  <si>
    <t>recombination signal binding protein for immunoglobulin kappa J region-like</t>
  </si>
  <si>
    <t>GO:0003674: molecular_function, GO:0005739: mitochondrion, GO:0005743: mitochondrial inner membrane, GO:0005768: endosome, GO:0008150: biological_process</t>
  </si>
  <si>
    <t>19126_at</t>
  </si>
  <si>
    <t>prominin 1</t>
  </si>
  <si>
    <t>GO:0000122: negative regulation of transcription from RNA polymerase II promoter, GO:0005102: receptor binding, GO:0005109: frizzled binding, GO:0005576: extracellular region, GO:0005578: proteinaceous extracellular matrix, GO:0005615: extracellular space, GO:0005615: extracellular space, GO:0005737: cytoplasm, GO:0005886: plasma membrane, GO:0007275: multicellular organismal development, GO:0007409: axonogenesis, GO:0009798: axis specification, GO:0009952: anterior/posterior pattern specification, GO:0010628: positive regulation of gene expression, GO:0014068: positive regulation of phosphatidylinositol 3-kinase cascade, GO:0016055: Wnt receptor signaling pathway, GO:0030216: keratinocyte differentiation, GO:0043616: keratinocyte proliferation, GO:0046330: positive regulation of JNK cascade, GO:0060070: canonical Wnt receptor signaling pathway, GO:0060317: cardiac epithelial to mesenchymal transition, GO:0060548: negative regulation of cell death, GO:0090399: replicative senescence, GO:0090403: oxidative stress-induced premature senescence</t>
  </si>
  <si>
    <t>497097_at</t>
  </si>
  <si>
    <t>X Kell blood group precursor related family member 4</t>
  </si>
  <si>
    <t>100040591_at</t>
  </si>
  <si>
    <t>potassium inwardly-rectifying channel, subfamily J, member 13</t>
  </si>
  <si>
    <t>GO:0003677: DNA binding, GO:0003700: sequence-specific DNA binding transcription factor activity, GO:0005515: protein binding, GO:0005634: nucleus, GO:0005634: nucleus, GO:0005667: transcription factor complex, GO:0005737: cytoplasm, GO:0006351: transcription, DNA-dependent, GO:0006355: regulation of transcription, DNA-dependent, GO:0007626: locomotory behavior, GO:0042755: eating behavior, GO:0043565: sequence-specific DNA binding, GO:0045944: positive regulation of transcription from RNA polymerase II promoter, GO:0045944: positive regulation of transcription from RNA polymerase II promoter, GO:0060056: mammary gland involution</t>
  </si>
  <si>
    <t>235379_at</t>
  </si>
  <si>
    <t>gliomedin</t>
  </si>
  <si>
    <t>GO:0005216: ion channel activity, GO:0005242: inward rectifier potassium channel activity, GO:0005244: voltage-gated ion channel activity, GO:0006810: transport, GO:0006811: ion transport, GO:0006813: potassium ion transport, GO:0016020: membrane, GO:0016021: integral to membrane, GO:0034765: regulation of ion transmembrane transport, GO:0071805: potassium ion transmembrane transport</t>
  </si>
  <si>
    <t>04974: Protein digestion and absorption</t>
  </si>
  <si>
    <t>12564_at</t>
  </si>
  <si>
    <t>cadherin 8</t>
  </si>
  <si>
    <t>13483_at</t>
  </si>
  <si>
    <t>dipeptidylpeptidase 6</t>
  </si>
  <si>
    <t>GO:0003674: molecular_function, GO:0006508: proteolysis, GO:0008076: voltage-gated potassium channel complex, GO:0008236: serine-type peptidase activity, GO:0009986: cell surface, GO:0016020: membrane, GO:0016021: integral to membrane, GO:0019228: regulation of action potential in neuron, GO:0042391: regulation of membrane potential, GO:0043025: neuronal cell body, GO:0043266: regulation of potassium ion transport, GO:0043268: positive regulation of potassium ion transport</t>
  </si>
  <si>
    <t>20423_at</t>
  </si>
  <si>
    <t>sonic hedgehog</t>
  </si>
  <si>
    <t>GO:0000978: RNA polymerase II core promoter proximal region sequence-specific DNA binding, GO:0000982: RNA polymerase II core promoter proximal region sequence-specific DNA binding transcription factor activity, GO:0003677: DNA binding, GO:0003700: sequence-specific DNA binding transcription factor activity, GO:0005634: nucleus, GO:0005634: nucleus, GO:0005667: transcription factor complex, GO:0006351: transcription, DNA-dependent, GO:0006355: regulation of transcription, DNA-dependent, GO:0045893: positive regulation of transcription, DNA-dependent</t>
  </si>
  <si>
    <t>04330: Notch signaling pathway</t>
  </si>
  <si>
    <t>93735_at</t>
  </si>
  <si>
    <t>wingless-related MMTV integration site 16</t>
  </si>
  <si>
    <t>GO:0000122: negative regulation of transcription from RNA polymerase II promoter, GO:0001525: angiogenesis, GO:0001525: angiogenesis, GO:0001525: angiogenesis, GO:0001569: patterning of blood vessels, GO:0001570: vasculogenesis, GO:0001656: metanephros development, GO:0001658: branching involved in ureteric bud morphogenesis, GO:0001708: cell fate specification, GO:0001708: cell fate specification, GO:0001708: cell fate specification, GO:0001755: neural crest cell migration, GO:0001822: kidney development, GO:0001841: neural tube formation, GO:0001942: hair follicle development, GO:0001944: vasculature development, GO:0001947: heart looping, GO:0001948: glycoprotein binding, GO:0002052: positive regulation of neuroblast proliferation, GO:0002052: positive regulation of neuroblast proliferation, GO:0002053: positive regulation of mesenchymal cell proliferation, GO:0002076: osteoblast development, GO:0002320: lymphoid progenitor cell differentiation, GO:0002320: lymphoid progenitor cell differentiation, GO:0003140: determination of left/right asymmetry in lateral mesoderm, GO:0004871: signal transducer activity, GO:0005113: patched binding, GO:0005113: patched binding, GO:0005509: calcium ion binding, GO:0005515: protein binding, GO:0005539: glycosaminoglycan binding, GO:0005576: extracellular region, GO:0005615: extracellular space, GO:0005615: extracellular space, GO:0005634: nucleus, GO:0005783: endoplasmic reticulum, GO:0005794: Golgi apparatus, GO:0005886: plasma membrane, GO:0006355: regulation of transcription, DNA-dependent, GO:0006508: proteolysis, GO:0006897: endocytosis, GO:0006915: apoptotic process, GO:0007154: cell communication, GO:0007165: signal transduction, GO:0007165: signal transduction, GO:0007224: smoothened signaling pathway, GO:0007224: smoothened signaling pathway, GO:0007224: smoothened signaling pathway, GO:0007228: positive regulation of hh target transcription factor activity, GO:0007228: positive regulation of hh target transcription factor activity, GO:0007228: positive regulation of hh target transcription factor activity, GO:0007267: cell-cell signaling, GO:0007275: multicellular organismal development, GO:0007368: determination of left/right symmetry, GO:0007389: pattern specification process, GO:0007389: pattern specification process, GO:0007398: ectoderm development, GO:0007405: neuroblast proliferation, GO:0007411: axon guidance, GO:0007411: axon guidance, GO:0007417: central nervous system development, GO:0007442: hindgut morphogenesis, GO:0007502: digestive tract mesoderm development, GO:0007507: heart development, GO:0007596: blood coagulation, GO:0008209: androgen metabolic process, GO:0008219: cell death, GO:0008233: peptidase activity, GO:0008270: zinc ion binding, GO:0008283: cell proliferation, GO:0008284: positive regulation of cell proliferation, GO:0008284: positive regulation of cell proliferation, GO:0008284: positive regulation of cell proliferation, GO:0008284: positive regulation of cell proliferation, GO:0009790: embryo development, GO:0009790: embryo development, GO:0009952: anterior/posterior pattern specification, GO:0009953: dorsal/ventral pattern formation, GO:0009986: cell surface, GO:0010463: mesenchymal cell proliferation, GO:0010468: regulation of gene expression, GO:0010468: regulation of gene expression, GO:0010468: regulation of gene expression, GO:0010628: positive regulation of gene expression, GO:0010629: negative regulation of gene expression, GO:0014003: oligodendrocyte development, GO:0014706: striated muscle tissue development, GO:0014858: positive regulation of skeletal muscle cell proliferation, GO:0014902: myotube differentiation, GO:0016020: membrane, GO:0016539: intein-mediated protein splicing, GO:0021513: spinal cord dorsal/ventral patterning, GO:0021513: spinal cord dorsal/ventral patterning, GO:0021521: ventral spinal cord interneuron specification, GO:0021904: dorsal/ventral neural tube patterning, GO:0021904: dorsal/ventral neural tube patterning, GO:0021938: smoothened signaling pathway involved in regulation of cerebellar granule cell precursor cell proliferation, GO:0021938: smoothened signaling pathway involved in regulation of cerebellar granule cell precursor cell proliferation, GO:0021940: positive regulation of cerebellar granule cell precursor proliferation, GO:0021978: telencephalon regionalization, GO:0021978: telencephalon regionalization, GO:0030010: establishment of cell polarity, GO:0030133: transport vesicle, GO:0030162: regulation of proteolysis, GO:0030177: positive regulation of Wnt receptor signaling pathway, GO:0030178: negative regulation of Wnt receptor signaling pathway, GO:0030323: respiratory tube development, GO:0030324: lung development, GO:0030324: lung development, GO:0030326: embryonic limb morphogenesis, GO:0030326: embryonic limb morphogenesis, GO:0030336: negative regulation of cell migration, GO:0030424: axon, GO:0030425: dendrite, GO:0030539: male genitalia development, GO:0030850: prostate gland development, GO:0030878: thyroid gland development, GO:0030900: forebrain development, GO:0030901: midbrain development, GO:0030902: hindbrain development, GO:0030902: hindbrain development, GO:0031012: extracellular matrix, GO:0031016: pancreas development, GO:0031016: pancreas development, GO:0031069: hair follicle morphogenesis, GO:0032435: negative regulation of proteasomal ubiquitin-dependent protein catabolic process, GO:0032880: regulation of protein localization, GO:0033077: T cell differentiation in thymus, GO:0033089: positive regulation of T cell differentiation in thymus, GO:0033092: positive regulation of immature T cell proliferation in thymus, GO:0034244: negative regulation of transcription elongation from RNA polymerase II promoter, GO:0034504: protein localization to nucleus, GO:0035115: embryonic forelimb morphogenesis, GO:0035116: embryonic hindlimb morphogenesis, GO:0042127: regulation of cell proliferation, GO:0042127: regulation of cell proliferation, GO:0042130: negative regulation of T cell proliferation, GO:0042177: negative regulation of protein catabolic process, GO:0042307: positive regulation of protein import into nucleus, GO:0042475: odontogenesis of dentin-containing tooth, GO:0042476: odontogenesis, GO:0042733: embryonic digit morphogenesis, GO:0042981: regulation of apoptotic process, GO:0043010: camera-type eye development, GO:0043010: camera-type eye development, GO:0043010: camera-type eye development, GO:0043025: neuronal cell body, GO:0043066: negative regulation of apoptotic process, GO:0043237: laminin-1 binding, GO:0043369: CD4-positive or CD8-positive, alpha-beta T cell lineage commitment, GO:0043369: CD4-positive or CD8-positive, alpha-beta T cell lineage commitment, GO:0043586: tongue development, GO:0043587: tongue morphogenesis, GO:0043588: skin development, GO:0045059: positive thymic T cell selection, GO:0045060: negative thymic T cell selection, GO:0045109: intermediate filament organization, GO:0045121: membrane raft, GO:0045121: membrane raft, GO:0045165: cell fate commitment, GO:0045445: myoblast differentiation, GO:0045471: response to ethanol, GO:0045596: negative regulation of cell differentiation, GO:0045596: negative regulation of cell differentiation, GO:0045597: positive regulation of cell differentiation, GO:0045666: positive regulation of neuron differentiation, GO:0045880: positive regulation of smoothened signaling pathway,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GO:0046534: positive regulation of photoreceptor cell differentiation, GO:0046638: positive regulation of alpha-beta T cell differentiation, GO:0046639: negative regulation of alpha-beta T cell differentiation, GO:0048468: cell development, GO:0048538: thymus development, GO:0048546: digestive tract morphogenesis, GO:0048557: embryonic digestive tract morphogenesis, GO:0048557: embryonic digestive tract morphogenesis, GO:0048568: embryonic organ development, GO:0048589: developmental growth, GO:0048598: embryonic morphogenesis, GO:0048617: embryonic foregut morphogenesis, GO:0048643: positive regulation of skeletal muscle tissue development, GO:0048645: organ formation, GO:0048646: anatomical structure formation involved in morphogenesis, GO:0048663: neuron fate commitment, GO:0048678: response to axon injury, GO:0048706: embryonic skeletal system development, GO:0048709: oligodendrocyte differentiation, GO:0048714: positive regulation of oligodendrocyte differentiation, GO:0048754: branching morphogenesis of a tube, GO:0048808: male genitalia morphogenesis, GO:0048839: inner ear development, GO:0048839: inner ear development, GO:0048856: anatomical structure development, GO:0048859: formation of anatomical boundary, GO:0048864: stem cell development, GO:0051146: striated muscle cell differentiation, GO:0051146: striated muscle cell differentiation, GO:0051155: positive regulation of striated muscle cell differentiation, GO:0051781: positive regulation of cell division, GO:0060020: Bergmann glial cell differentiation, GO:0060021: palate development, GO:0060070: canonical Wnt receptor signaling pathway, GO:0060173: limb development, GO:0060173: limb development, GO:0060174: limb bud formation, GO:0060406: positive regulation of penile erection, GO:0060425: lung morphogenesis, GO:0060428: lung epithelium development, GO:0060438: trachea development, GO:0060439: trachea morphogenesis, GO:0060441: epithelial tube branching involved in lung morphogenesis, GO:0060442: branching involved in prostate gland morphogenesis, GO:0060445: branching involved in salivary gland morphogenesis, GO:0060445: branching involved in salivary gland morphogenesis, GO:0060447: bud outgrowth involved in lung branching, GO:0060458: right lung development, GO:0060459: left lung development, GO:0060463: lung lobe morphogenesis, GO:0060484: lung-associated mesenchyme development, GO:0060516: primary prostatic bud elongation, GO:0060523: prostate epithelial cord elongation, GO:0060662: salivary gland cavitation, GO:0060664: epithelial cell proliferation involved in salivary gland morphogenesis, GO:0060684: epithelial-mesenchymal cell signaling, GO:0060685: regulation of prostatic bud formation, GO:0060685: regulation of prostatic bud formation, GO:0060738: epithelial-mesenchymal signaling involved in prostate gland development, GO:0060738: epithelial-mesenchymal signaling involved in prostate gland development, GO:0060768: regulation of epithelial cell proliferation involved in prostate gland development, GO:0060769: positive regulation of epithelial cell proliferation involved in prostate gland development, GO:0060782: regulation of mesenchymal cell proliferation involved in prostate gland development, GO:0060783: mesenchymal smoothened signaling pathway involved in prostate gland development, GO:0060840: artery development, GO:0060840: artery development, GO:0060916: mesenchymal cell proliferation involved in lung development, GO:0060979: vasculogenesis involved in coronary vascular morphogenesis, GO:0061053: somite development, GO:0061189: positive regulation of sclerotome development, GO:0061196: fungiform papilla development, GO:0061197: fungiform papilla morphogenesis, GO:0061198: fungiform papilla formation, GO:0070447: positive regulation of oligodendrocyte progenitor proliferation, GO:0071285: cellular response to lithium ion, GO:0072136: metanephric mesenchymal cell proliferation involved in metanephros development, GO:0080125: multicellular structure septum development, GO:0090090: negative regulation of canonical Wnt receptor signaling pathway, GO:0090370: negative regulation of cholesterol efflux, GO:2000062: negative regulation of ureter smooth muscle cell differentiation, GO:2000063: positive regulation of ureter smooth muscle cell differentiation, GO:2000357: negative regulation of kidney smooth muscle cell differentiation, GO:2000358: positive regulation of kidney smooth muscle cell differentiation, GO:2000729: positive regulation of mesenchymal cell proliferation involved in ureter development</t>
  </si>
  <si>
    <t>GO:0004800: thyroxine 5'-deiodinase activity, GO:0004800: thyroxine 5'-deiodinase activity, GO:0004800: thyroxine 5'-deiodinase activity, GO:0005623: cell, GO:0006590: thyroid hormone generation, GO:0009409: response to cold, GO:0016020: membrane, GO:0016021: integral to membrane, GO:0016491: oxidoreductase activity, GO:0031625: ubiquitin protein ligase binding, GO:0042403: thyroid hormone metabolic process, GO:0042404: thyroid hormone catabolic process, GO:0042446: hormone biosynthetic process, GO:0055114: oxidation-reduction process, GO:0055114: oxidation-reduction process, GO:0070460: thyroid-stimulating hormone secretion</t>
  </si>
  <si>
    <t>208618_at</t>
  </si>
  <si>
    <t>enhancer trap locus 4</t>
  </si>
  <si>
    <t>GO:0005737: cytoplasm, GO:0007275: multicellular organismal development, GO:0048706: embryonic skeletal system development</t>
  </si>
  <si>
    <t>77976_at</t>
  </si>
  <si>
    <t>NUAK family, SNF1-like kinase, 1</t>
  </si>
  <si>
    <t>12405_at</t>
  </si>
  <si>
    <t>cerebellin 2 precursor protein</t>
  </si>
  <si>
    <t>GO:0005515: protein binding, GO:0005615: extracellular space, GO:0016020: membrane, GO:0016021: integral to membrane, GO:0051965: positive regulation of synapse assembly</t>
  </si>
  <si>
    <t>12020_at</t>
  </si>
  <si>
    <t>NK3 homeobox 2</t>
  </si>
  <si>
    <t>GO:0000166: nucleotide binding, GO:0002039: p53 binding, GO:0004672: protein kinase activity, GO:0004674: protein serine/threonine kinase activity, GO:0005524: ATP binding, GO:0005634: nucleus, GO:0005737: cytoplasm, GO:0006468: protein phosphorylation, GO:0006974: response to DNA damage stimulus, GO:0007155: cell adhesion, GO:0016301: kinase activity, GO:0016310: phosphorylation, GO:0016740: transferase activity, GO:0016772: transferase activity, transferring phosphorus-containing groups, GO:0030155: regulation of cell adhesion, GO:0035507: regulation of myosin-light-chain-phosphatase activity, GO:2000772: regulation of cellular senescence</t>
  </si>
  <si>
    <t>330222_at</t>
  </si>
  <si>
    <t>sidekick homolog 1 (chicken)</t>
  </si>
  <si>
    <t>GO:0003674: molecular_function, GO:0007155: cell adhesion, GO:0016020: membrane, GO:0016021: integral to membrane</t>
  </si>
  <si>
    <t>11303_at</t>
  </si>
  <si>
    <t>ATP-binding cassette, sub-family A (ABC1), member 1</t>
  </si>
  <si>
    <t>GO:0000165: MAPK cascade, GO:0003824: catalytic activity, GO:0004721: phosphoprotein phosphatase activity, GO:0004722: protein serine/threonine phosphatase activity, GO:0005515: protein binding, GO:0005622: intracellular, GO:0006470: protein dephosphorylation, GO:0007178: transmembrane receptor protein serine/threonine kinase signaling pathway, GO:0016020: membrane, GO:0016021: integral to membrane, GO:0016787: hydrolase activity, GO:0046872: metal ion binding</t>
  </si>
  <si>
    <t>110075_at</t>
  </si>
  <si>
    <t>bone morphogenetic protein 3</t>
  </si>
  <si>
    <t>GO:0001503: ossification, GO:0005125: cytokine activity, GO:0005576: extracellular region, GO:0005615: extracellular space, GO:0007275: multicellular organismal development, GO:0008083: growth factor activity, GO:0030154: cell differentiation, GO:0031988: membrane-bounded vesicle, GO:0040007: growth, GO:0045944: positive regulation of transcription from RNA polymerase II promoter, GO:0051216: cartilage development, GO:0070700: BMP receptor binding</t>
  </si>
  <si>
    <t>13371_at</t>
  </si>
  <si>
    <t>deiodinase, iodothyronine, type II</t>
  </si>
  <si>
    <t>GO:0001501: skeletal system development, GO:0003677: DNA binding, GO:0003700: sequence-specific DNA binding transcription factor activity, GO:0005634: nucleus, GO:0006351: transcription, DNA-dependent, GO:0006355: regulation of transcription, DNA-dependent, GO:0007368: determination of left/right symmetry, GO:0031016: pancreas development, GO:0032331: negative regulation of chondrocyte differentiation, GO:0042474: middle ear morphogenesis, GO:0043066: negative regulation of apoptotic process, GO:0043565: sequence-specific DNA binding, GO:0048513: organ development, GO:0048536: spleen development, GO:0048645: organ formation, GO:0048705: skeletal system morphogenesis, GO:0048706: embryonic skeletal system development, GO:0055123: digestive system development, GO:0060576: intestinal epithelial cell development</t>
  </si>
  <si>
    <t>242083_at</t>
  </si>
  <si>
    <t>protein phosphatase 1 (formerly 2C)-like</t>
  </si>
  <si>
    <t>GO:0000166: nucleotide binding, GO:0002790: peptide secretion, GO:0005515: protein binding, GO:0005524: ATP binding, GO:0005548: phospholipid transporter activity, GO:0005548: phospholipid transporter activity, GO:0005548: phospholipid transporter activity, GO:0005622: intracellular, GO:0005794: Golgi apparatus, GO:0005886: plasma membrane, GO:0005887: integral to plasma membrane, GO:0005887: integral to plasma membrane, GO:0006200: ATP catabolic process, GO:0006200: ATP catabolic process, GO:0006497: protein lipidation, GO:0006810: transport, GO:0006820: anion transport, GO:0006911: phagocytosis, engulfment, GO:0007040: lysosome organization, GO:0007186: G-protein coupled receptor signaling pathway, GO:0008152: metabolic process, GO:0008203: cholesterol metabolic process, GO:0008203: cholesterol metabolic process, GO:0008509: anion transmembrane transporter activity, GO:0009986: cell surface, GO:0010875: positive regulation of cholesterol efflux, GO:0015914: phospholipid transport, GO:0016020: membrane, GO:0016021: integral to membrane, GO:0016197: endosomal transport, GO:0016887: ATPase activity, GO:0017111: nucleoside-triphosphatase activity, GO:0017127: cholesterol transporter activity, GO:0017127: cholesterol transporter activity, GO:0017127: cholesterol transporter activity, GO:0019905: syntaxin binding, GO:0030139: endocytic vesicle, GO:0030301: cholesterol transport, GO:0030819: positive regulation of cAMP biosynthetic process, GO:0031267: small GTPase binding, GO:0032367: intracellular cholesterol transport, GO:0032488: Cdc42 protein signal transduction, GO:0033344: cholesterol efflux, GO:0033344: cholesterol efflux, GO:0033344: cholesterol efflux, GO:0033700: phospholipid efflux, GO:0033700: phospholipid efflux, GO:0033700: phospholipid efflux, GO:0034185: apolipoprotein binding, GO:0034186: apolipoprotein A-I binding, GO:0034188: apolipoprotein A-I receptor activity, GO:0034220: ion transmembrane transport, GO:0034364: high-density lipoprotein particle, GO:0034380: high-density lipoprotein particle assembly, GO:0038027: apolipoprotein A-I-mediated signaling pathway, GO:0042157: lipoprotein metabolic process, GO:0042158: lipoprotein biosynthetic process, GO:0042158: lipoprotein biosynthetic process, GO:0042626: ATPase activity, coupled to transmembrane movement of substances, GO:0042632: cholesterol homeostasis, GO:0043231: intracellular membrane-bounded organelle, GO:0043691: reverse cholesterol transport, GO:0043691: reverse cholesterol transport, GO:0045121: membrane raft, GO:0045332: phospholipid translocation, GO:0045335: phagocytic vesicle, GO:0050702: interleukin-1 beta secretion, GO:0055085: transmembrane transport, GO:0055091: phospholipid homeostasis, GO:0060155: platelet dense granule organization, GO:0071222: cellular response to lipopolysaccharide, GO:0071300: cellular response to retinoic acid</t>
  </si>
  <si>
    <t>GO:0004872: receptor activity, GO:0005622: intracellular, GO:0005886: plasma membrane, GO:0005887: integral to plasma membrane, GO:0007165: signal transduction, GO:0007166: cell surface receptor signaling pathway, GO:0007275: multicellular organismal development, GO:0016020: membrane, GO:0016021: integral to membrane, GO:0017154: semaphorin receptor activity, GO:0017154: semaphorin receptor activity, GO:0017154: semaphorin receptor activity, GO:0021935: cerebellar granule cell precursor tangential migration, GO:0030334: regulation of cell migration, GO:0051642: centrosome localization, GO:0071526: semaphorin-plexin signaling pathway, GO:0071526: semaphorin-plexin signaling pathway, GO:0071526: semaphorin-plexin signaling pathway</t>
  </si>
  <si>
    <t>04360: Axon guidance</t>
  </si>
  <si>
    <t>56811_at</t>
  </si>
  <si>
    <t>dickkopf homolog 2 (Xenopus laevis)</t>
  </si>
  <si>
    <t>GO:0005576: extracellular region, GO:0005615: extracellular space, GO:0090090: negative regulation of canonical Wnt receptor signaling pathway, GO:0090263: positive regulation of canonical Wnt receptor signaling pathway</t>
  </si>
  <si>
    <t>GO:0003674: molecular_function, GO:0004867: serine-type endopeptidase inhibitor activity, GO:0005575: cellular_component, GO:0005576: extracellular region, GO:0008150: biological_process, GO:0010466: negative regulation of peptidase activity, GO:0010951: negative regulation of endopeptidase activity, GO:0030212: hyaluronan metabolic process, GO:0030414: peptidase inhibitor activity</t>
  </si>
  <si>
    <t>18845_at</t>
  </si>
  <si>
    <t>plexin A2</t>
  </si>
  <si>
    <t>04310: Wnt signaling pathway</t>
  </si>
  <si>
    <t>16371_at</t>
  </si>
  <si>
    <t>Iroquois related homeobox 1 (Drosophila)</t>
  </si>
  <si>
    <t>GO:0003677: DNA binding, GO:0003700: sequence-specific DNA binding transcription factor activity, GO:0005634: nucleus, GO:0006355: regulation of transcription, DNA-dependent, GO:0043565: sequence-specific DNA binding</t>
  </si>
  <si>
    <t>19218_at</t>
  </si>
  <si>
    <t>prostaglandin E receptor 3 (subtype EP3)</t>
  </si>
  <si>
    <t>GO:0000166: nucleotide binding, GO:0003924: GTPase activity, GO:0005198: structural molecule activity, GO:0005525: GTP binding, GO:0005737: cytoplasm, GO:0005856: cytoskeleton, GO:0005874: microtubule, GO:0006184: GTP catabolic process, GO:0007017: microtubule-based process, GO:0007018: microtubule-based movement, GO:0043234: protein complex, GO:0051258: protein polymerization</t>
  </si>
  <si>
    <t>114886_at</t>
  </si>
  <si>
    <t>cytoglobin</t>
  </si>
  <si>
    <t>GO:0005604: basement membrane, GO:0005608: laminin-3 complex, GO:0005610: laminin-5 complex, GO:0005913: cell-cell adherens junction, GO:0016337: cell-cell adhesion, GO:0030056: hemidesmosome, GO:0031581: hemidesmosome assembly</t>
  </si>
  <si>
    <t>04510: Focal adhesion, 04512: ECM-receptor interaction, 05145: Toxoplasmosis, 05146: Amoebiasis, 05200: Pathways in cancer, 05222: Small cell lung cancer</t>
  </si>
  <si>
    <t>338352_at</t>
  </si>
  <si>
    <t>NEL-like 1 (chicken)</t>
  </si>
  <si>
    <t>GO:0001660: fever generation, GO:0001660: fever generation, GO:0004957: prostaglandin E receptor activity, GO:0004957: prostaglandin E receptor activity, GO:0005515: protein binding, GO:0005886: plasma membrane, GO:0007188: adenylate cyclase-modulating G-protein coupled receptor signaling pathway, GO:0007200: phospholipase C-activating G-protein coupled receptor signaling pathway, GO:0007204: elevation of cytosolic calcium ion concentration, GO:0015701: bicarbonate transport, GO:0032496: response to lipopolysaccharide, GO:0035810: positive regulation of urine volume</t>
  </si>
  <si>
    <t>22151_at</t>
  </si>
  <si>
    <t>02010: ABC transporters, 04975: Fat digestion and absorption</t>
  </si>
  <si>
    <t>16774_at</t>
  </si>
  <si>
    <t>laminin, alpha 3</t>
  </si>
  <si>
    <t>GO:0005080: protein kinase C binding, GO:0005509: calcium ion binding, GO:0005576: extracellular region, GO:0005615: extracellular space, GO:0005737: cytoplasm, GO:0006917: induction of apoptosis, GO:0008201: heparin binding, GO:0042802: identical protein binding, GO:0045667: regulation of osteoblast differentiation, GO:0045778: positive regulation of ossification, GO:0070207: protein homotrimerization</t>
  </si>
  <si>
    <t>209378_at</t>
  </si>
  <si>
    <t>inter-alpha (globulin) inhibitor H5</t>
  </si>
  <si>
    <t>tubulin, beta 2A class IIA</t>
  </si>
  <si>
    <t>GO:0004601: peroxidase activity, GO:0004601: peroxidase activity, GO:0005344: oxygen transporter activity, GO:0005506: iron ion binding, GO:0005737: cytoplasm, GO:0006810: transport, GO:0006979: response to oxidative stress, GO:0006979: response to oxidative stress, GO:0015671: oxygen transport, GO:0019825: oxygen binding, GO:0020037: heme binding, GO:0043005: neuron projection, GO:0043025: neuronal cell body, GO:0046872: metal ion binding</t>
  </si>
  <si>
    <t>21808_at</t>
  </si>
  <si>
    <t>transforming growth factor, beta 2</t>
  </si>
  <si>
    <t>GO:0000902: cell morphogenesis, GO:0001501: skeletal system development, GO:0001502: cartilage condensation, GO:0001540: beta-amyloid binding, GO:0001568: blood vessel development, GO:0001654: eye development, GO:0001666: response to hypoxia, GO:0001837: epithelial to mesenchymal transition, GO:0001942: hair follicle development, GO:0001942: hair follicle development, GO:0001974: blood vessel remodeling, GO:0003007: heart morphogenesis, GO:0003151: outflow tract morphogenesis, GO:0003214: cardiac left ventricle morphogenesis, GO:0003215: cardiac right ventricle morphogenesis, GO:0004702: receptor signaling protein serine/threonine kinase activity, GO:0005102: receptor binding, GO:0005114: type II transforming growth factor beta receptor binding, GO:0005160: transforming growth factor beta receptor binding, GO:0005515: protein binding, GO:0005576: extracellular region, GO:0005604: basement membrane, GO:0005615: extracellular space, GO:0005615: extracellular space, GO:0005737: cytoplasm, GO:0005802: trans-Golgi network, GO:0006468: protein phosphorylation, GO:0006917: induction of apoptosis, GO:0006924: activation-induced cell death of T cells, GO:0007050: cell cycle arrest, GO:0007179: transforming growth factor beta receptor signaling pathway, GO:0007184: SMAD protein import into nucleus, GO:0007411: axon guidance, GO:0007507: heart development, GO:0007507: heart development, GO:0008083: growth factor activity, GO:0008219: cell death, GO:0008284: positive regulation of cell proliferation, GO:0008285: negative regulation of cell proliferation, GO:0008347: glial cell migration, GO:0009986: cell surface, GO:0010002: cardioblast differentiation, GO:0010628: positive regulation of gene expression, GO:0010634: positive regulation of epithelial cell migration, GO:0010693: negative regulation of alkaline phosphatase activity, GO:0010718: positive regulation of epithelial to mesenchymal transition, GO:0010936: negative regulation of macrophage cytokine production, GO:0014068: positive regulation of phosphatidylinositol 3-kinase cascade, GO:0016049: cell growth, GO:0016477: cell migration, GO:0023014: signal transduction by phosphorylation, GO:0030097: hemopoiesis, GO:0030141: secretory granule, GO:0030198: extracellular matrix organization, GO:0030199: collagen fibril organization, GO:0030307: positive regulation of cell growth, GO:0030308: negative regulation of cell growth, GO:0030335: positive regulation of cell migration, GO:0030424: axon, GO:0031012: extracellular matrix, GO:0031069: hair follicle morphogenesis, GO:0032147: activation of protein kinase activity, GO:0032570: response to progesterone stimulus, GO:0032874: positive regulation of stress-activated MAPK cascade, GO:0032909: regulation of transforming growth factor beta2 production, GO:0033630: positive regulation of cell adhesion mediated by integrin, GO:0040007: growth, GO:0042060: wound healing, GO:0042416: dopamine biosynthetic process, GO:0042637: catagen, GO:0042803: protein homodimerization activity, GO:0042981: regulation of apoptotic process, GO:0043025: neuronal cell body, GO:0043065: positive regulation of apoptotic process, GO:0043066: negative regulation of apoptotic process, GO:0043525: positive regulation of neuron apoptotic process, GO:0043627: response to estrogen stimulus, GO:0045216: cell-cell junction organization, GO:0045617: negative regulation of keratinocyte differentiation, GO:0045726: positive regulation of integrin biosynthetic process, GO:0045787: positive regulation of cell cycle, GO:0045823: positive regulation of heart contraction, GO:0046982: protein heterodimerization activity, GO:0047485: protein N-terminus binding, GO:0048103: somatic stem cell division, GO:0048663: neuron fate commitment, GO:0048666: neuron development, GO:0048702: embryonic neurocranium morphogenesis, GO:0050680: negative regulation of epithelial cell proliferation, GO:0050714: positive regulation of protein secretion, GO:0050777: negative regulation of immune response, GO:0051280: negative regulation of release of sequestered calcium ion into cytosol, GO:0051781: positive regulation of cell division, GO:0051795: positive regulation of catagen, GO:0051891: positive regulation of cardioblast differentiation, GO:0060038: cardiac muscle cell proliferation, GO:0060317: cardiac epithelial to mesenchymal transition, GO:0060389: pathway-restricted SMAD protein phosphorylation, GO:0060389: pathway-restricted SMAD protein phosphorylation, GO:0060412: ventricular septum morphogenesis</t>
  </si>
  <si>
    <t>04010: MAPK signaling pathway, 04060: Cytokine-cytokine receptor interaction, 04110: Cell cycle, 04144: Endocytosis, 04350: TGF-beta signaling pathway, 04380: Osteoclast differentiation, 05140: Leishmaniasis, 05142: Chagas disease (American trypanosomiasis), 05144: Malaria, 05145: Toxoplasmosis, 05146: Amoebiasis, 05200: Pathways in cancer, 05210: Colorectal cancer, 05211: Renal cell carcinoma, 05212: Pancreatic cancer, 05220: Chronic myeloid leukemia, 05323: Rheumatoid arthritis, 05410: Hypertrophic cardiomyopathy (HCM), 05414: Dilated cardiomyopathy</t>
  </si>
  <si>
    <t>18189_at</t>
  </si>
  <si>
    <t>neurexin I</t>
  </si>
  <si>
    <t>GO:0001525: angiogenesis, GO:0005102: receptor binding, GO:0005246: calcium channel regulator activity, GO:0005509: calcium ion binding, GO:0005515: protein binding, GO:0005623: cell, GO:0005886: plasma membrane, GO:0005886: plasma membrane, GO:0007155: cell adhesion, GO:0007157: heterophilic cell-cell adhesion, GO:0007158: neuron cell-cell adhesion, GO:0007268: synaptic transmission, GO:0007269: neurotransmitter secretion, GO:0007269: neurotransmitter secretion, GO:0007416: synapse assembly, GO:0007612: learning, GO:0009986: cell surface, GO:0009986: cell surface, GO:0016020: membrane, GO:0016021: integral to membrane, GO:0016339: calcium-dependent cell-cell adhesion, GO:0030054: cell junction, GO:0030139: endocytic vesicle, GO:0030534: adult behavior, GO:0033130: acetylcholine receptor binding, GO:0035176: social behavior, GO:0035418: protein localization to synapse, GO:0042734: presynaptic membrane, GO:0043473: pigmentation, GO:0043499: eukaryotic cell surface binding, GO:0044295: axonal growth cone, GO:0045184: establishment of protein localization, GO:0045202: synapse, GO:0046872: metal ion binding, GO:0048306: calcium-dependent protein binding, GO:0050839: cell adhesion molecule binding, GO:0050839: cell adhesion molecule binding, GO:0050885: neuromuscular process controlling balance, GO:0051290: protein heterotetramerization, GO:0051490: negative regulation of filopodium assembly, GO:0051965: positive regulation of synapse assembly, GO:0051968: positive regulation of synaptic transmission, glutamatergic, GO:0051968: positive regulation of synaptic transmission, glutamatergic, GO:0060076: excitatory synapse, GO:0060077: inhibitory synapse, GO:0060134: prepulse inhibition, GO:0060325: face morphogenesis, GO:0071625: vocalization behavior, GO:0090004: positive regulation of establishment of protein localization to plasma membrane, GO:0090129: positive regulation of synapse maturation, GO:0097091: synaptic vesicle clustering, GO:0097104: postsynaptic membrane assembly, GO:0097105: presynaptic membrane assembly, GO:0097109: neuroligin family protein binding, GO:0097109: neuroligin family protein binding, GO:0097112: gamma-aminobutyric acid receptor clustering, GO:0097114: N-methyl-D-aspartate receptor clustering, GO:0097116: gephyrin clustering, GO:0097117: guanylate kinase-associated protein clustering, GO:0097118: neuroligin clustering, GO:0097119: postsynaptic density protein 95 clustering, GO:0097120: receptor localization to synapse, GO:2000310: regulation of N-methyl-D-aspartate selective glutamate receptor activity, GO:2000311: regulation of alpha-amino-3-hydroxy-5-methyl-4-isoxazole propionate selective glutamate receptor activity, GO:2000463: positive regulation of excitatory postsynaptic membrane potential, GO:2000463: positive regulation of excitatory postsynaptic membrane potential, GO:2000821: regulation of grooming behavior</t>
  </si>
  <si>
    <t>GO:0001822: kidney development, GO:0002063: chondrocyte development, GO:0003094: glomerular filtration, GO:0003824: catalytic activity, GO:0004065: arylsulfatase activity, GO:0005509: calcium ion binding, GO:0005615: extracellular space, GO:0005783: endoplasmic reticulum, GO:0005794: Golgi apparatus, GO:0005886: plasma membrane, GO:0006790: sulfur compound metabolic process, GO:0008152: metabolic process, GO:0008449: N-acetylglucosamine-6-sulfatase activity, GO:0008449: N-acetylglucosamine-6-sulfatase activity, GO:0008484: sulfuric ester hydrolase activity, GO:0009986: cell surface, GO:0010575: positive regulation vascular endothelial growth factor production, GO:0014846: esophagus smooth muscle contraction, GO:0016787: hydrolase activity, GO:0030177: positive regulation of Wnt receptor signaling pathway, GO:0030201: heparan sulfate proteoglycan metabolic process, GO:0030201: heparan sulfate proteoglycan metabolic process, GO:0032836: glomerular basement membrane development, GO:0035860: glial cell-derived neurotrophic factor receptor signaling pathway, GO:0040037: negative regulation of fibroblast growth factor receptor signaling pathway, GO:0046872: metal ion binding, GO:0048706: embryonic skeletal system development, GO:0051216: cartilage development, GO:0060348: bone development, GO:0060384: innervation</t>
  </si>
  <si>
    <t>14247_at</t>
  </si>
  <si>
    <t>Friend leukemia integration 1</t>
  </si>
  <si>
    <t>GO:0000980: RNA polymerase II distal enhancer sequence-specific DNA binding, GO:0003677: DNA binding, GO:0003700: sequence-specific DNA binding transcription factor activity, GO:0005634: nucleus, GO:0006351: transcription, DNA-dependent, GO:0006355: regulation of transcription, DNA-dependent, GO:0008015: blood circulation, GO:0009887: organ morphogenesis, GO:0009987: cellular process, GO:0043565: sequence-specific DNA binding</t>
  </si>
  <si>
    <t>18213_at</t>
  </si>
  <si>
    <t>neurotrophic tyrosine kinase, receptor, type 3</t>
  </si>
  <si>
    <t>04910: Insulin signaling pathway, 04920: Adipocytokine signaling pathway, 05016: Huntington's disease</t>
  </si>
  <si>
    <t>70546_at</t>
  </si>
  <si>
    <t>GO:0000166: nucleotide binding, GO:0001764: neuron migration, GO:0004672: protein kinase activity, GO:0004713: protein tyrosine kinase activity, GO:0004714: transmembrane receptor protein tyrosine kinase activity, GO:0005030: neurotrophin receptor activity, GO:0005515: protein binding, GO:0005524: ATP binding, GO:0005737: cytoplasm, GO:0005886: plasma membrane, GO:0005887: integral to plasma membrane, GO:0006468: protein phosphorylation, GO:0007165: signal transduction, GO:0007169: transmembrane receptor protein tyrosine kinase signaling pathway, GO:0007275: multicellular organismal development, GO:0007399: nervous system development, GO:0016020: membrane, GO:0016021: integral to membrane, GO:0016301: kinase activity, GO:0016310: phosphorylation, GO:0016740: transferase activity, GO:0016772: transferase activity, transferring phosphorus-containing groups, GO:0030154: cell differentiation, GO:0042490: mechanoreceptor differentiation, GO:0046777: protein autophosphorylation, GO:0046875: ephrin receptor binding, GO:0048665: neuron fate specification, GO:0048691: positive regulation of axon extension involved in regeneration, GO:0048712: negative regulation of astrocyte differentiation, GO:0060548: negative regulation of cell death</t>
  </si>
  <si>
    <t>04722: Neurotrophin signaling pathway</t>
  </si>
  <si>
    <t>19017_at</t>
  </si>
  <si>
    <t>peroxisome proliferative activated receptor, gamma, coactivator 1 alpha</t>
  </si>
  <si>
    <t>17138_at</t>
  </si>
  <si>
    <t>melanoma antigen, family A, 2</t>
  </si>
  <si>
    <t>72043_at</t>
  </si>
  <si>
    <t>sulfatase 2</t>
  </si>
  <si>
    <t>GO:0005575: cellular_component, GO:0008152: metabolic process, GO:0008270: zinc ion binding, GO:0016020: membrane, GO:0016021: integral to membrane, GO:0016409: palmitoyltransferase activity, GO:0016740: transferase activity, GO:0016746: transferase activity, transferring acyl groups, GO:0018345: protein palmitoylation, GO:0046872: metal ion binding</t>
  </si>
  <si>
    <t>11820_at</t>
  </si>
  <si>
    <t>amyloid beta (A4) precursor protein</t>
  </si>
  <si>
    <t>GO:0000166: nucleotide binding, GO:0003676: nucleic acid binding, GO:0003677: DNA binding, GO:0003713: transcription coactivator activity, GO:0003713: transcription coactivator activity, GO:0003723: RNA binding, GO:0005515: protein binding, GO:0005634: nucleus, GO:0005634: nucleus, GO:0005829: cytosol, GO:0006351: transcription, DNA-dependent, GO:0006355: regulation of transcription, DNA-dependent, GO:0007005: mitochondrion organization, GO:0008134: transcription factor binding, GO:0010941: regulation of cell death, GO:0014850: response to muscle activity, GO:0016922: ligand-dependent nuclear receptor binding, GO:0022904: respiratory electron transport chain, GO:0030374: ligand-dependent nuclear receptor transcription coactivator activity, GO:0031490: chromatin DNA binding, GO:0034599: cellular response to oxidative stress, GO:0043524: negative regulation of neuron apoptotic process,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GO:0046321: positive regulation of fatty acid oxidation, GO:0051091: positive regulation of sequence-specific DNA binding transcription factor activity, GO:0051091: positive regulation of sequence-specific DNA binding transcription factor activity, GO:0070997: neuron death, GO:2000310: regulation of N-methyl-D-aspartate selective glutamate receptor activity</t>
  </si>
  <si>
    <t>zinc finger, DHHC domain containing 2</t>
  </si>
  <si>
    <t>GO:0000085: G2 phase of mitotic cell cycle, GO:0001967: suckling behavior, GO:0003677: DNA binding, GO:0004867: serine-type endopeptidase inhibitor activity, GO:0005102: receptor binding, GO:0005515: protein binding, GO:0005622: intracellular, GO:0005622: intracellular, GO:0005737: cytoplasm, GO:0005737: cytoplasm, GO:0005794: Golgi apparatus, GO:0005794: Golgi apparatus, GO:0005886: plasma membrane, GO:0005886: plasma membrane, GO:0005905: coated pit, GO:0006378: mRNA polyadenylation, GO:0006417: regulation of translation, GO:0006468: protein phosphorylation, GO:0006878: cellular copper ion homeostasis, GO:0006878: cellular copper ion homeostasis, GO:0006897: endocytosis, GO:0006915: apoptotic process, GO:0006917: induction of apoptosis, GO:0006979: response to oxidative stress, GO:0007155: cell adhesion, GO:0007176: regulation of epidermal growth factor-activated receptor activity, GO:0007219: Notch signaling pathway, GO:0007409: axonogenesis, GO:0007617: mating behavior, GO:0007626: locomotory behavior, GO:0008088: axon cargo transport, GO:0008088: axon cargo transport, GO:0008201: heparin binding, GO:0008203: cholesterol metabolic process, GO:0008203: cholesterol metabolic process, GO:0008344: adult locomotory behavior, GO:0008542: visual learning, GO:0009986: cell surface, GO:0010466: negative regulation of peptidase activity, GO:0010468: regulation of gene expression, GO:0010951: negative regulation of endopeptidase activity, GO:0010952: positive regulation of peptidase activity, GO:0016020: membrane, GO:0016020: membrane, GO:0016021: integral to membrane, GO:0016199: axon midline choice point recognition, GO:0016322: neuron remodeling, GO:0016358: dendrite development, GO:0016358: dendrite development, GO:0016504: peptidase activator activity, GO:0030198: extracellular matrix organization, GO:0030414: peptidase inhibitor activity, GO:0030424: axon, GO:0030900: forebrain development, GO:0031175: neuron projection development, GO:0031410: cytoplasmic vesicle, GO:0031594: neuromuscular junction, GO:0033130: acetylcholine receptor binding, GO:0035235: ionotropic glutamate receptor signaling pathway, GO:0035253: ciliary rootlet, GO:0040014: regulation of multicellular organism growth, GO:0042802: identical protein binding, GO:0043005: neuron projection, GO:0043231: intracellular membrane-bounded organelle, GO:0043393: regulation of protein binding, GO:0043393: regulation of protein binding, GO:0045177: apical part of cell, GO:0045665: negative regulation of neuron differentiation, GO:0045665: negative regulation of neuron differentiation, GO:0045931: positive regulation of mitotic cell cycle, GO:0045944: positive regulation of transcription from RNA polymerase II promoter, GO:0045944: positive regulation of transcription from RNA polymerase II promoter, GO:0046872: metal ion binding, GO:0046914: transition metal ion binding, GO:0048471: perinuclear region of cytoplasm, GO:0048669: collateral sprouting in absence of injury, GO:0050803: regulation of synapse structure and activity, GO:0050885: neuromuscular process controlling balance, GO:0051124: synaptic growth at neuromuscular junction, GO:0051233: spindle midzone, GO:0051402: neuron apoptotic process, GO:0051402: neuron apoptotic process, GO:0051425: PTB domain binding, GO:0051563: smooth endoplasmic reticulum calcium ion homeostasis, GO:0070851: growth factor receptor binding</t>
  </si>
  <si>
    <t>potassium voltage-gated channel, shaker-related subfamily, beta member 1</t>
  </si>
  <si>
    <t>UDP-N-acetyl-alpha-D-galactosamine:polypeptide N-acetylgalactosaminyltransferase-like 6</t>
  </si>
  <si>
    <t>GO:0005216: ion channel activity, GO:0005244: voltage-gated ion channel activity, GO:0005249: voltage-gated potassium channel activity, GO:0005737: cytoplasm, GO:0006810: transport, GO:0006811: ion transport, GO:0006813: potassium ion transport, GO:0016021: integral to membrane, GO:0034765: regulation of ion transmembrane transport, GO:0055085: transmembrane transport, GO:0071805: potassium ion transmembrane transport</t>
  </si>
  <si>
    <t>320865_at</t>
  </si>
  <si>
    <t>cadherin 18</t>
  </si>
  <si>
    <t>GO:0003836: beta-galactoside (CMP) alpha-2,3-sialyltransferase activity, GO:0003836: beta-galactoside (CMP) alpha-2,3-sialyltransferase activity, GO:0005576: extracellular region, GO:0005794: Golgi apparatus, GO:0006468: protein phosphorylation, GO:0006486: protein glycosylation, GO:0006486: protein glycosylation, GO:0008152: metabolic process, GO:0008373: sialyltransferase activity, GO:0016020: membrane, GO:0016021: integral to membrane, GO:0016740: transferase activity, GO:0016757: transferase activity, transferring glycosyl groups, GO:0030173: integral to Golgi membrane</t>
  </si>
  <si>
    <t>GO:0003674: molecular_function, GO:0005886: plasma membrane, GO:0007155: cell adhesion, GO:0008150: biological_process, GO:0016020: membrane, GO:0016021: integral to membrane</t>
  </si>
  <si>
    <t>19130_at</t>
  </si>
  <si>
    <t>prospero-related homeobox 1</t>
  </si>
  <si>
    <t>GO:0003779: actin binding, GO:0005515: protein binding, GO:0005737: cytoplasm, GO:0005856: cytoskeleton, GO:0007010: cytoskeleton organization, GO:0007411: axon guidance, GO:0008270: zinc ion binding, GO:0015629: actin cytoskeleton, GO:0045944: positive regulation of transcription from RNA polymerase II promoter, GO:0046872: metal ion binding</t>
  </si>
  <si>
    <t>20446_at</t>
  </si>
  <si>
    <t>ST6 (alpha-N-acetyl-neuraminyl-2,3-beta-galactosyl-1,3)-N-acetylgalactosaminide alpha-2,6-sialyltransferase 2</t>
  </si>
  <si>
    <t>GO:0005509: calcium ion binding, GO:0005886: plasma membrane, GO:0007155: cell adhesion, GO:0007156: homophilic cell adhesion, GO:0007275: multicellular organismal development, GO:0008150: biological_process, GO:0016020: membrane, GO:0016021: integral to membrane</t>
  </si>
  <si>
    <t>214968_at</t>
  </si>
  <si>
    <t>05010: Alzheimer's disease</t>
  </si>
  <si>
    <t>102866_at</t>
  </si>
  <si>
    <t>plastin 3 (T-isoform)</t>
  </si>
  <si>
    <t>GO:0005216: ion channel activity, GO:0005244: voltage-gated ion channel activity, GO:0005245: voltage-gated calcium channel activity, GO:0005262: calcium channel activity, GO:0006810: transport, GO:0006811: ion transport, GO:0006816: calcium ion transport, GO:0016020: membrane, GO:0016021: integral to membrane, GO:0034765: regulation of ion transmembrane transport, GO:0046872: metal ion binding, GO:0051925: regulation of calcium ion transport via voltage-gated calcium channel activity, GO:0070588: calcium ion transmembrane transport</t>
  </si>
  <si>
    <t>226251_at</t>
  </si>
  <si>
    <t>actin-binding LIM protein 1</t>
  </si>
  <si>
    <t>GO:0003779: actin binding, GO:0005509: calcium ion binding, GO:0005737: cytoplasm, GO:0008150: biological_process, GO:0032420: stereocilium</t>
  </si>
  <si>
    <t>71738_at</t>
  </si>
  <si>
    <t>MAM domain containing 2</t>
  </si>
  <si>
    <t>GO:0004872: receptor activity, GO:0005794: Golgi apparatus, GO:0005886: plasma membrane, GO:0007275: multicellular organismal development, GO:0007399: nervous system development, GO:0008150: biological_process, GO:0016020: membrane, GO:0016021: integral to membrane, GO:0030154: cell differentiation, GO:0030215: semaphorin receptor binding</t>
  </si>
  <si>
    <t>16497_at</t>
  </si>
  <si>
    <t>GO:0005794: Golgi apparatus, GO:0006486: protein glycosylation, GO:0008373: sialyltransferase activity, GO:0016020: membrane, GO:0016021: integral to membrane, GO:0016740: transferase activity, GO:0016757: transferase activity, transferring glycosyl groups, GO:0030173: integral to Golgi membrane</t>
  </si>
  <si>
    <t>245050_at</t>
  </si>
  <si>
    <t>family with sequence similarity 198, member A</t>
  </si>
  <si>
    <t>GO:0003674: molecular_function, GO:0005575: cellular_component, GO:0005576: extracellular region, GO:0008150: biological_process</t>
  </si>
  <si>
    <t>270120_at</t>
  </si>
  <si>
    <t>FAT tumor suppressor homolog 3 (Drosophila)</t>
  </si>
  <si>
    <t>GO:0005539: glycosaminoglycan binding, GO:0005576: extracellular region, GO:0005578: proteinaceous extracellular matrix, GO:0005614: interstitial matrix, GO:0005783: endoplasmic reticulum, GO:0016020: membrane, GO:0019800: peptide cross-linking via chondroitin 4-sulfate glycosaminoglycan, GO:0031012: extracellular matrix</t>
  </si>
  <si>
    <t>270049_at</t>
  </si>
  <si>
    <t>sema domain, transmembrane domain (TM), and cytoplasmic domain, (semaphorin) 6D</t>
  </si>
  <si>
    <t>GO:0003674: molecular_function, GO:0005575: cellular_component, GO:0005794: Golgi apparatus, GO:0008150: biological_process, GO:0016020: membrane, GO:0016021: integral to membrane, GO:0016740: transferase activity, GO:0016757: transferase activity, transferring glycosyl groups</t>
  </si>
  <si>
    <t>00512: Mucin type O-Glycan biosynthesis, 01100: Metabolic pathways</t>
  </si>
  <si>
    <t>20442_at</t>
  </si>
  <si>
    <t>ST3 beta-galactoside alpha-2,3-sialyltransferase 1</t>
  </si>
  <si>
    <t>calcium channel, voltage-dependent, alpha2/delta subunit 3</t>
  </si>
  <si>
    <t>00512: Mucin type O-Glycan biosynthesis, 00533: Glycosaminoglycan biosynthesis - keratan sulfate, 00603: Glycosphingolipid biosynthesis - globo series, 00604: Glycosphingolipid biosynthesis - ganglio series, 01100: Metabolic pathways</t>
  </si>
  <si>
    <t>12294_at</t>
  </si>
  <si>
    <t>GO:0000122: negative regulation of transcription from RNA polymerase II promoter, GO:0000122: negative regulation of transcription from RNA polymerase II promoter, GO:0000981: sequence-specific DNA binding RNA polymerase II transcription factor activity, GO:0001709: cell fate determination, GO:0001938: positive regulation of endothelial cell proliferation, GO:0001945: lymph vessel development, GO:0001946: lymphangiogenesis, GO:0002089: lens morphogenesis in camera-type eye, GO:0002194: hepatocyte cell migration, GO:0003677: DNA binding, GO:0003700: sequence-specific DNA binding transcription factor activity, GO:0003705: RNA polymerase II distal enhancer sequence-specific DNA binding transcription factor activity, GO:0003714: transcription corepressor activity, GO:0005634: nucleus, GO:0005634: nucleus, GO:0005737: cytoplasm, GO:0005737: cytoplasm, GO:0006351: transcription, DNA-dependent, GO:0006355: regulation of transcription, DNA-dependent, GO:0007275: multicellular organismal development, GO:0008284: positive regulation of cell proliferation, GO:0008284: positive regulation of cell proliferation, GO:0008285: negative regulation of cell proliferation, GO:0008285: negative regulation of cell proliferation, GO:0010468: regulation of gene expression, GO:0010468: regulation of gene expression, GO:0010595: positive regulation of endothelial cell migration, GO:0016922: ligand-dependent nuclear receptor binding, GO:0021542: dentate gyrus development, GO:0021707: cerebellar granule cell differentiation, GO:0030240: skeletal muscle thin filament assembly, GO:0043433: negative regulation of sequence-specific DNA binding transcription factor activity, GO:0043565: sequence-specific DNA binding, GO:0044212: transcription regulatory region DNA binding, GO:0045071: negative regulation of viral genome replication, GO:0045446: endothelial cell differentiation, GO:0045737: positive regulation of cyclin-dependent protein kinase activity, GO:0045750: positive regulation of S phase of mitotic cell cycle, GO:0045787: positive regulation of cell cycle, GO:0045892: negative regulation of transcription, DNA-dependent, GO:0045893: positive regulation of transcription, DNA-dependent, GO:0045944: positive regulation of transcription from RNA polymerase II promoter, GO:0048839: inner ear development, GO:0048845: venous blood vessel morphogenesis, GO:0050692: DBD domain binding, GO:0050693: LBD domain binding, GO:0055005: ventricular cardiac myofibril development, GO:0055009: atrial cardiac muscle tissue morphogenesis, GO:0055010: ventricular cardiac muscle tissue morphogenesis, GO:0060214: endocardium formation, GO:0060298: positive regulation of sarcomere organization, GO:0060412: ventricular septum morphogenesis, GO:0060414: aorta smooth muscle tissue morphogenesis, GO:0060421: positive regulation of heart growth, GO:0060836: lymphatic endothelial cell differentiation, GO:0060836: lymphatic endothelial cell differentiation, GO:0060849: regulation of transcription involved in lymphatic endothelial cell fate commitment, GO:0070309: lens fiber cell morphogenesis, GO:0070858: negative regulation of bile acid biosynthetic process, GO:0072574: hepatocyte proliferation, GO:0097150: neuronal stem cell maintenance, GO:2000179: positive regulation of neural precursor cell proliferation, GO:2000979: positive regulation of forebrain neuron differentiation, GO:2001052: positive regulation of G1/S transition checkpoint</t>
  </si>
  <si>
    <t>sarcosine dehydrogenase</t>
  </si>
  <si>
    <t>GO:0004047: aminomethyltransferase activity, GO:0005737: cytoplasm, GO:0005739: mitochondrion, GO:0005759: mitochondrial matrix, GO:0006546: glycine catabolic process, GO:0008150: biological_process, GO:0008480: sarcosine dehydrogenase activity, GO:0016491: oxidoreductase activity, GO:0032259: methylation, GO:0050660: flavin adenine dinucleotide binding, GO:0055114: oxidation-reduction process</t>
  </si>
  <si>
    <t>268354_at</t>
  </si>
  <si>
    <t>family with sequence similarity 19, member A2</t>
  </si>
  <si>
    <t>GO:0003674: molecular_function, GO:0005575: cellular_component, GO:0005737: cytoplasm, GO:0008150: biological_process</t>
  </si>
  <si>
    <t>64074_at</t>
  </si>
  <si>
    <t>SPARC related modular calcium binding 2</t>
  </si>
  <si>
    <t>GO:0005509: calcium ion binding, GO:0005539: glycosaminoglycan binding, GO:0005576: extracellular region, GO:0005578: proteinaceous extracellular matrix, GO:0005604: basement membrane, GO:0005614: interstitial matrix, GO:0007165: signal transduction, GO:0008201: heparin binding, GO:0010811: positive regulation of cell-substrate adhesion, GO:0030198: extracellular matrix organization, GO:0031012: extracellular matrix</t>
  </si>
  <si>
    <t>241447_at</t>
  </si>
  <si>
    <t>LAG1 homolog, ceramide synthase 6</t>
  </si>
  <si>
    <t>GO:0003677: DNA binding, GO:0003700: sequence-specific DNA binding transcription factor activity, GO:0005634: nucleus, GO:0005783: endoplasmic reticulum, GO:0006355: regulation of transcription, DNA-dependent, GO:0008610: lipid biosynthetic process, GO:0016020: membrane, GO:0016021: integral to membrane, GO:0030148: sphingolipid biosynthetic process, GO:0043565: sequence-specific DNA binding, GO:0046513: ceramide biosynthetic process, GO:0050291: sphingosine N-acyltransferase activity</t>
  </si>
  <si>
    <t>14012_at</t>
  </si>
  <si>
    <t>myelin protein zero-like 2</t>
  </si>
  <si>
    <t>GO:0003674: molecular_function, GO:0005886: plasma membrane, GO:0016337: cell-cell adhesion, GO:0033077: T cell differentiation in thymus</t>
  </si>
  <si>
    <t>56501_at</t>
  </si>
  <si>
    <t>E74-like factor 4 (ets domain transcription factor)</t>
  </si>
  <si>
    <t>GO:0001787: natural killer cell proliferation, GO:0001866: NK T cell proliferation, GO:0003677: DNA binding, GO:0003700: sequence-specific DNA binding transcription factor activity, GO:0005634: nucleus, GO:0006351: transcription, DNA-dependent, GO:0006355: regulation of transcription, DNA-dependent, GO:0016605: PML body, GO:0043565: sequence-specific DNA binding, GO:0045893: positive regulation of transcription, DNA-dependent, GO:0045893: positive regulation of transcription, DNA-dependent, GO:0045944: positive regulation of transcription from RNA polymerase II promoter, GO:0045944: positive regulation of transcription from RNA polymerase II promoter</t>
  </si>
  <si>
    <t>16009_at</t>
  </si>
  <si>
    <t>insulin-like growth factor binding protein 3</t>
  </si>
  <si>
    <t>GO:0001558: regulation of cell growth, GO:0001933: negative regulation of protein phosphorylation, GO:0001968: fibronectin binding, GO:0005520: insulin-like growth factor binding, GO:0005615: extracellular space, GO:0005615: extracellular space, GO:0005634: nucleus, GO:0006468: protein phosphorylation, GO:0008160: protein tyrosine phosphatase activator activity, GO:0008285: negative regulation of cell proliferation, GO:0010906: regulation of glucose metabolic process, GO:0014912: negative regulation of smooth muscle cell migration, GO:0016942: insulin-like growth factor binding protein complex, GO:0031994: insulin-like growth factor I binding, GO:0031995: insulin-like growth factor II binding, GO:0040008: regulation of growth, GO:0042567: insulin-like growth factor ternary complex, GO:0042568: insulin-like growth factor binary complex, GO:0043065: positive regulation of apoptotic process, GO:0043410: positive regulation of MAPK cascade, GO:0043568: positive regulation of insulin-like growth factor receptor signaling pathway, GO:0044342: type B pancreatic cell proliferation, GO:0045663: positive regulation of myoblast differentiation, GO:0048662: negative regulation of smooth muscle cell proliferation</t>
  </si>
  <si>
    <t>12554_at</t>
  </si>
  <si>
    <t>cadherin 13</t>
  </si>
  <si>
    <t>192166_at</t>
  </si>
  <si>
    <t>GO:0001558: regulation of cell growth, GO:0001938: positive regulation of endothelial cell proliferation, GO:0001954: positive regulation of cell-matrix adhesion, GO:0002040: sprouting angiogenesis, GO:0005509: calcium ion binding, GO:0005515: protein binding, GO:0005615: extracellular space, GO:0005737: cytoplasm, GO:0005886: plasma membrane, GO:0005886: plasma membrane, GO:0005901: caveola, GO:0007155: cell adhesion, GO:0007156: homophilic cell adhesion, GO:0007162: negative regulation of cell adhesion, GO:0007266: Rho protein signal transduction, GO:0008285: negative regulation of cell proliferation, GO:0009897: external side of plasma membrane, GO:0016020: membrane, GO:0016339: calcium-dependent cell-cell adhesion, GO:0016601: Rac protein signal transduction, GO:0030032: lamellipodium assembly, GO:0030100: regulation of endocytosis, GO:0030169: low-density lipoprotein particle binding, GO:0030335: positive regulation of cell migration, GO:0031225: anchored to membrane, GO:0042058: regulation of epidermal growth factor receptor signaling pathway, GO:0042803: protein homodimerization activity, GO:0043005: neuron projection, GO:0043542: endothelial cell migration, GO:0043616: keratinocyte proliferation, GO:0045296: cadherin binding, GO:0045885: positive regulation of survival gene product expression, GO:0048471: perinuclear region of cytoplasm, GO:0048661: positive regulation of smooth muscle cell proliferation, GO:0050850: positive regulation of calcium-mediated signaling, GO:0050927: positive regulation of positive chemotaxis, GO:0051668: localization within membrane, GO:0055096: low-density lipoprotein particle mediated signaling, GO:0055100: adiponectin binding, GO:0071813: lipoprotein particle binding</t>
  </si>
  <si>
    <t>17022_at</t>
  </si>
  <si>
    <t>lumican</t>
  </si>
  <si>
    <t>GO:0000976: transcription regulatory region sequence-specific DNA binding, GO:0003677: DNA binding, GO:0003682: chromatin binding, GO:0003700: sequence-specific DNA binding transcription factor activity, GO:0003700: sequence-specific DNA binding transcription factor activity, GO:0005634: nucleus, GO:0005634: nucleus, GO:0006355: regulation of transcription, DNA-dependent, GO:0006357: regulation of transcription from RNA polymerase II promoter, GO:0006357: regulation of transcription from RNA polymerase II promoter, GO:0006366: transcription from RNA polymerase II promoter, GO:0007224: smoothened signaling pathway, GO:0007275: multicellular organismal development, GO:0008283: cell proliferation, GO:0021912: regulation of transcription from RNA polymerase II promoter involved in spinal cord motor neuron fate specification, GO:0021913: regulation of transcription from RNA polymerase II promoter involved in ventral spinal cord interneuron specification, GO:0022008: neurogenesis, GO:0030154: cell differentiation, GO:0030154: cell differentiation, GO:0031018: endocrine pancreas development, GO:0031018: endocrine pancreas development, GO:0032024: positive regulation of insulin secretion, GO:0043565: sequence-specific DNA binding, GO:0044424: intracellular part, GO:0045666: positive regulation of neuron differentiation, GO:0045686: negative regulation of glial cell differentiation, GO:0045687: positive regulation of glial cell differentiation, GO:0048709: oligodendrocyte differentiation</t>
  </si>
  <si>
    <t>04950: Maturity onset diabetes of the young</t>
  </si>
  <si>
    <t>28105_at</t>
  </si>
  <si>
    <t>tripartite motif-containing 36</t>
  </si>
  <si>
    <t>GO:0003674: molecular_function, GO:0005575: cellular_component, GO:0005783: endoplasmic reticulum, GO:0005886: plasma membrane, GO:0008150: biological_process, GO:0016020: membrane, GO:0016021: integral to membrane</t>
  </si>
  <si>
    <t>68235_at</t>
  </si>
  <si>
    <t>RIKEN cDNA 2410066E13 gene</t>
  </si>
  <si>
    <t>110886_at</t>
  </si>
  <si>
    <t>gamma-aminobutyric acid (GABA) A receptor, subunit alpha 5</t>
  </si>
  <si>
    <t>GO:0001662: behavioral fear response, GO:0004890: GABA-A receptor activity, GO:0005216: ion channel activity, GO:0005230: extracellular ligand-gated ion channel activity, GO:0005254: chloride channel activity, GO:0005886: plasma membrane, GO:0006810: transport, GO:0006811: ion transport, GO:0006821: chloride transport, GO:0007165: signal transduction, GO:0007214: gamma-aminobutyric acid signaling pathway, GO:0007268: synaptic transmission, GO:0007605: sensory perception of sound, GO:0008306: associative learning, GO:0016020: membrane, GO:0016021: integral to membrane, GO:0030054: cell junction, GO:0030425: dendrite, GO:0030425: dendrite, GO:0032809: neuronal cell body membrane, GO:0034220: ion transmembrane transport, GO:0034707: chloride channel complex, GO:0044297: cell body, GO:0045202: synapse, GO:0045211: postsynaptic membrane, GO:0048666: neuron development, GO:0060119: inner ear receptor cell development, GO:0060384: innervation, GO:0090102: cochlea development</t>
  </si>
  <si>
    <t>226075_at</t>
  </si>
  <si>
    <t>GLIS family zinc finger 3</t>
  </si>
  <si>
    <t>GO:0005518: collagen binding, GO:0005576: extracellular region, GO:0005578: proteinaceous extracellular matrix, GO:0005578: proteinaceous extracellular matrix, GO:0005583: fibrillar collagen, GO:0005615: extracellular space, GO:0045944: positive regulation of transcription from RNA polymerase II promoter</t>
  </si>
  <si>
    <t>18096_at</t>
  </si>
  <si>
    <t>NK6 homeobox 1</t>
  </si>
  <si>
    <t>GO:0000122: negative regulation of transcription from RNA polymerase II promoter, GO:0003676: nucleic acid binding, GO:0003677: DNA binding, GO:0003700: sequence-specific DNA binding transcription factor activity, GO:0005622: intracellular, GO:0005634: nucleus, GO:0006351: transcription, DNA-dependent, GO:0006355: regulation of transcription, DNA-dependent, GO:0006366: transcription from RNA polymerase II promoter, GO:0008270: zinc ion binding, GO:0044428: nuclear part, GO:0045944: positive regulation of transcription from RNA polymerase II promoter, GO:0046872: metal ion binding</t>
  </si>
  <si>
    <t>93683_at</t>
  </si>
  <si>
    <t>glucuronyl C5-epimerase</t>
  </si>
  <si>
    <t>GO:0005794: Golgi apparatus, GO:0006024: glycosaminoglycan biosynthetic process, GO:0015012: heparan sulfate proteoglycan biosynthetic process, GO:0015012: heparan sulfate proteoglycan biosynthetic process, GO:0016020: membrane, GO:0016021: integral to membrane, GO:0016853: isomerase activity, GO:0016857: racemase and epimerase activity, acting on carbohydrates and derivatives, GO:0016857: racemase and epimerase activity, acting on carbohydrates and derivatives, GO:0030210: heparin biosynthetic process, GO:0047464: heparosan-N-sulfate-glucuronate 5-epimerase activity, GO:0050379: UDP-glucuronate 5'-epimerase activity, GO:0050379: UDP-glucuronate 5'-epimerase activity</t>
  </si>
  <si>
    <t>00534: Glycosaminoglycan biosynthesis - heparan sulfate, 01100: Metabolic pathways</t>
  </si>
  <si>
    <t>21834_at</t>
  </si>
  <si>
    <t>thyroid hormone receptor beta</t>
  </si>
  <si>
    <t>GO:0001669: acrosomal vesicle, GO:0005622: intracellular, GO:0005623: cell, GO:0005737: cytoplasm, GO:0005856: cytoskeleton, GO:0007340: acrosome reaction, GO:0008152: metabolic process, GO:0008270: zinc ion binding, GO:0016874: ligase activity, GO:0031410: cytoplasmic vesicle, GO:0046872: metal ion binding</t>
  </si>
  <si>
    <t>56747_at</t>
  </si>
  <si>
    <t>seizure related 6 homolog like</t>
  </si>
  <si>
    <t>GO:0000122: negative regulation of transcription from RNA polymerase II promoter, GO:0003677: DNA binding, GO:0003690: double-stranded DNA binding, GO:0003700: sequence-specific DNA binding transcription factor activity, GO:0003707: steroid hormone receptor activity, GO:0004887: thyroid hormone receptor activity, GO:0004887: thyroid hormone receptor activity, GO:0005515: protein binding, GO:0005634: nucleus, GO:0005634: nucleus, GO:0006351: transcription, DNA-dependent, GO:0006355: regulation of transcription, DNA-dependent, GO:0006357: regulation of transcription from RNA polymerase II promoter, GO:0006357: regulation of transcription from RNA polymerase II promoter, GO:0006357: regulation of transcription from RNA polymerase II promoter, GO:0007605: sensory perception of sound, GO:0007621: negative regulation of female receptivity, GO:0008016: regulation of heart contraction, GO:0008050: female courtship behavior, GO:0008270: zinc ion binding, GO:0008284: positive regulation of cell proliferation, GO:0009887: organ morphogenesis, GO:0019216: regulation of lipid metabolic process, GO:0019899: enzyme binding, GO:0031490: chromatin DNA binding, GO:0032332: positive regulation of chondrocyte differentiation, GO:0042803: protein homodimerization activity, GO:0043401: steroid hormone mediated signaling pathway, GO:0043565: sequence-specific DNA binding, GO:0045778: positive regulation of ossification, GO:0045892: negative regulation of transcription, DNA-dependent, GO:0045944: positive regulation of transcription from RNA polymerase II promoter, GO:0046872: metal ion binding, GO:0090181: regulation of cholesterol metabolic process, GO:0090207: regulation of triglyceride metabolic process</t>
  </si>
  <si>
    <t>20309_at</t>
  </si>
  <si>
    <t>chemokine (C-X-C motif) ligand 15</t>
  </si>
  <si>
    <t>GO:0002237: response to molecule of bacterial origin, GO:0005125: cytokine activity, GO:0005153: interleukin-8 receptor binding, GO:0005576: extracellular region, GO:0005615: extracellular space, GO:0005622: intracellular, GO:0006935: chemotaxis, GO:0006954: inflammatory response, GO:0006955: immune response, GO:0007050: cell cycle arrest, GO:0008009: chemokine activity, GO:0030097: hemopoiesis, GO:0030155: regulation of cell adhesion, GO:0030593: neutrophil chemotaxis, GO:0030593: neutrophil chemotaxis, GO:0031623: receptor internalization, GO:0035556: intracellular signal transduction, GO:0045091: regulation of retroviral genome replication, GO:0045744: negative regulation of G-protein coupled receptor protein signaling pathway, GO:0050930: induction of positive chemotaxis, GO:0071222: cellular response to lipopolysaccharide</t>
  </si>
  <si>
    <t>76829_at</t>
  </si>
  <si>
    <t>docking protein 5</t>
  </si>
  <si>
    <t>GO:0000165: MAPK cascade, GO:0005057: receptor signaling protein activity, GO:0005158: insulin receptor binding, GO:0005543: phospholipid binding, GO:0005622: intracellular, GO:0007169: transmembrane receptor protein tyrosine kinase signaling pathway, GO:0007399: nervous system development</t>
  </si>
  <si>
    <t>208898_at</t>
  </si>
  <si>
    <t>unc-13 homolog C (C. elegans)</t>
  </si>
  <si>
    <t>GO:0001566: non-kinase phorbol ester receptor activity, GO:0005737: cytoplasm, GO:0005886: plasma membrane, GO:0006887: exocytosis, GO:0007268: synaptic transmission, GO:0016020: membrane, GO:0030054: cell junction, GO:0035556: intracellular signal transduction, GO:0045202: synapse, GO:0046872: metal ion binding</t>
  </si>
  <si>
    <t>14394_at</t>
  </si>
  <si>
    <t>gamma-aminobutyric acid (GABA) A receptor, subunit alpha 1</t>
  </si>
  <si>
    <t>GO:0004890: GABA-A receptor activity, GO:0005216: ion channel activity, GO:0005230: extracellular ligand-gated ion channel activity, GO:0005254: chloride channel activity, GO:0005515: protein binding, GO:0005886: plasma membrane, GO:0005887: integral to plasma membrane, GO:0006810: transport, GO:0006811: ion transport, GO:0006821: chloride transport, GO:0007165: signal transduction, GO:0007214: gamma-aminobutyric acid signaling pathway, GO:0008144: drug binding, GO:0016020: membrane, GO:0016021: integral to membrane, GO:0016917: GABA receptor activity, GO:0030054: cell junction, GO:0034220: ion transmembrane transport, GO:0034707: chloride channel complex, GO:0045202: synapse, GO:0045211: postsynaptic membrane, GO:0051932: synaptic transmission, GABAergic</t>
  </si>
  <si>
    <t>268890_at</t>
  </si>
  <si>
    <t>limbic system-associated membrane protein</t>
  </si>
  <si>
    <t>GO:0005886: plasma membrane, GO:0007155: cell adhesion, GO:0016020: membrane, GO:0031225: anchored to membrane</t>
  </si>
  <si>
    <t>224344_at</t>
  </si>
  <si>
    <t>RNA binding motif protein 11</t>
  </si>
  <si>
    <t>GO:0000166: nucleotide binding, GO:0003674: molecular_function, GO:0003676: nucleic acid binding, GO:0003723: RNA binding, GO:0005575: cellular_component, GO:0008150: biological_process</t>
  </si>
  <si>
    <t>17700_at</t>
  </si>
  <si>
    <t>myostatin</t>
  </si>
  <si>
    <t>GO:0005102: receptor binding, GO:0005102: receptor binding, GO:0005125: cytokine activity, GO:0005515: protein binding, GO:0005576: extracellular region, GO:0005615: extracellular space, GO:0005737: cytoplasm, GO:0007179: transforming growth factor beta receptor signaling pathway, GO:0008083: growth factor activity, GO:0008201: heparin binding, GO:0014741: negative regulation of muscle hypertrophy, GO:0040007: growth, GO:0045893: positive regulation of transcription, DNA-dependent, GO:0048632: negative regulation of skeletal muscle tissue growth</t>
  </si>
  <si>
    <t>207521_at</t>
  </si>
  <si>
    <t>deltex 4 homolog (Drosophila)</t>
  </si>
  <si>
    <t>GO:0005575: cellular_component, GO:0005737: cytoplasm, GO:0007219: Notch signaling pathway, GO:0008150: biological_process, GO:0008152: metabolic process, GO:0008270: zinc ion binding, GO:0016874: ligase activity, GO:0046872: metal ion binding</t>
  </si>
  <si>
    <t>108760_at</t>
  </si>
  <si>
    <t>UDP-N-acetyl-alpha-D-galactosamine:polypeptide N-acetylgalactosaminyltransferase-like 1</t>
  </si>
  <si>
    <t>GO:0003674: molecular_function, GO:0004653: polypeptide N-acetylgalactosaminyltransferase activity, GO:0005575: cellular_component, GO:0005794: Golgi apparatus, GO:0005975: carbohydrate metabolic process, GO:0008150: biological_process, GO:0016020: membrane, GO:0016021: integral to membrane, GO:0016740: transferase activity, GO:0016757: transferase activity, transferring glycosyl groups</t>
  </si>
  <si>
    <t>67564_at</t>
  </si>
  <si>
    <t>transmembrane protein 35</t>
  </si>
  <si>
    <t>GO:0003674: molecular_function, GO:0005575: cellular_component, GO:0005777: peroxisome, GO:0008150: biological_process, GO:0016020: membrane, GO:0016021: integral to membrane, GO:0031410: cytoplasmic vesicle</t>
  </si>
  <si>
    <t>21908_at</t>
  </si>
  <si>
    <t>T cell leukemia, homeobox 1</t>
  </si>
  <si>
    <t>GO:0003677: DNA binding, GO:0005634: nucleus, GO:0007417: central nervous system development, GO:0008284: positive regulation of cell proliferation, GO:0030182: neuron differentiation, GO:0045165: cell fate commitment, GO:0045944: positive regulation of transcription from RNA polymerase II promoter, GO:0046982: protein heterodimerization activity, GO:0048535: lymph node development, GO:0048536: spleen development, GO:0048536: spleen development, GO:0048645: organ formation</t>
  </si>
  <si>
    <t>12563_at</t>
  </si>
  <si>
    <t>cadherin 6</t>
  </si>
  <si>
    <t>GO:0005509: calcium ion binding, GO:0005634: nucleus, GO:0005737: cytoplasm, GO:0005886: plasma membrane, GO:0005886: plasma membrane, GO:0007155: cell adhesion, GO:0007156: homophilic cell adhesion, GO:0016020: membrane, GO:0016021: integral to membrane</t>
  </si>
  <si>
    <t>13527_at</t>
  </si>
  <si>
    <t>dystrobrevin alpha</t>
  </si>
  <si>
    <t>GO:0005509: calcium ion binding, GO:0005515: protein binding, GO:0005737: cytoplasm, GO:0005886: plasma membrane, GO:0008270: zinc ion binding, GO:0016014: dystrobrevin complex, GO:0016020: membrane, GO:0030054: cell junction, GO:0042383: sarcolemma, GO:0043234: protein complex, GO:0045202: synapse, GO:0046872: metal ion binding</t>
  </si>
  <si>
    <t>56715_at</t>
  </si>
  <si>
    <t>RAB guanine nucleotide exchange factor (GEF) 1</t>
  </si>
  <si>
    <t>GO:0001933: negative regulation of protein phosphorylation, GO:0002686: negative regulation of leukocyte migration, GO:0003677: DNA binding, GO:0004842: ubiquitin-protein ligase activity, GO:0005515: protein binding, GO:0005737: cytoplasm, GO:0005768: endosome, GO:0006810: transport, GO:0006897: endocytosis, GO:0008270: zinc ion binding, GO:0015031: protein transport, GO:0016567: protein ubiquitination, GO:0031982: vesicle, GO:0033004: negative regulation of mast cell activation, GO:0043305: negative regulation of mast cell degranulation, GO:0046580: negative regulation of Ras protein signal transduction, GO:0046872: metal ion binding, GO:0048261: negative regulation of receptor-mediated endocytosis, GO:0050728: negative regulation of inflammatory response, GO:0060368: regulation of Fc receptor mediated stimulatory signaling pathway, GO:0060368: regulation of Fc receptor mediated stimulatory signaling pathway, GO:1900165: negative regulation of interleukin-6 secretion, GO:1900235: negative regulation of Kit signaling pathway</t>
  </si>
  <si>
    <t>229474_at</t>
  </si>
  <si>
    <t>FH2 domain containing 1</t>
  </si>
  <si>
    <t>GO:0003674: molecular_function, GO:0003779: actin binding, GO:0005575: cellular_component, GO:0008150: biological_process, GO:0016043: cellular component organization, GO:0030036: actin cytoskeleton organization</t>
  </si>
  <si>
    <t>68797_at</t>
  </si>
  <si>
    <t>platelet-derived growth factor receptor-like</t>
  </si>
  <si>
    <t>14609_at</t>
  </si>
  <si>
    <t>gap junction protein, alpha 1</t>
  </si>
  <si>
    <t>GO:0001649: osteoblast differentiation, GO:0001701: in utero embryonic development, GO:0001764: neuron migration, GO:0001947: heart looping, GO:0002070: epithelial cell maturation, GO:0003347: epicardial cell to mesenchymal cell transition, GO:0004871: signal transducer activity, GO:0005102: receptor binding, GO:0005243: gap junction channel activity, GO:0005243: gap junction channel activity, GO:0005515: protein binding, GO:0005737: cytoplasm, GO:0005741: mitochondrial outer membrane, GO:0005764: lysosome, GO:0005768: endosome, GO:0005769: early endosome, GO:0005770: late endosome, GO:0005771: multivesicular body, GO:0005794: Golgi apparatus, GO:0005829: cytosol, GO:0005882: intermediate filament, GO:0005886: plasma membrane, GO:0005886: plasma membrane, GO:0005911: cell-cell junction, GO:0005916: fascia adherens, GO:0005916: fascia adherens, GO:0005921: gap junction, GO:0005921: gap junction, GO:0005922: connexon complex, GO:0006915: apoptotic process, GO:0006915: apoptotic process, GO:0007154: cell communication, GO:0007165: signal transduction, GO:0007267: cell-cell signaling, GO:0007267: cell-cell signaling, GO:0007507: heart development, GO:0007512: adult heart development, GO:0008016: regulation of heart contraction, GO:0008285: negative regulation of cell proliferation, GO:0009268: response to pH, GO:0010232: vascular transport, GO:0010628: positive regulation of gene expression, GO:0010629: negative regulation of gene expression, GO:0014704: intercalated disc, GO:0015867: ATP transport, GO:0016020: membrane, GO:0016021: integral to membrane, GO:0017124: SH3 domain binding, GO:0019904: protein domain specific binding, GO:0022857: transmembrane transporter activity, GO:0030054: cell junction, GO:0030165: PDZ domain binding, GO:0030500: regulation of bone mineralization, GO:0035050: embryonic heart tube development, GO:0043123: positive regulation of I-kappaB kinase/NF-kappaB cascade, GO:0043292: contractile fiber, GO:0043403: skeletal muscle tissue regeneration, GO:0045121: membrane raft, GO:0045732: positive regulation of protein catabolic process, GO:0045844: positive regulation of striated muscle tissue development, GO:0046850: regulation of bone remodeling, GO:0048514: blood vessel morphogenesis, GO:0048812: neuron projection morphogenesis, GO:0051259: protein oligomerization, GO:0051924: regulation of calcium ion transport, GO:0055085: transmembrane transport, GO:0060174: limb bud formation, GO:0060312: regulation of blood vessel remodeling, GO:0090162: establishment of epithelial cell polarity, GO:2000810: regulation of tight junction assembly</t>
  </si>
  <si>
    <t>04540: Gap junction, 05412: Arrhythmogenic right ventricular cardiomyopathy (ARVC)</t>
  </si>
  <si>
    <t>216285_at</t>
  </si>
  <si>
    <t>ALX homeobox 1</t>
  </si>
  <si>
    <t>GO:0000122: negative regulation of transcription from RNA polymerase II promoter, GO:0001843: neural tube closure, GO:0003677: DNA binding, GO:0003700: sequence-specific DNA binding transcription factor activity, GO:0003700: sequence-specific DNA binding transcription factor activity, GO:0005515: protein binding, GO:0005634: nucleus, GO:0005634: nucleus, GO:0005667: transcription factor complex, GO:0006351: transcription, DNA-dependent, GO:0006355: regulation of transcription, DNA-dependent, GO:0007275: multicellular organismal development, GO:0009952: anterior/posterior pattern specification, GO:0014031: mesenchymal cell development, GO:0030326: embryonic limb morphogenesis, GO:0043565: sequence-specific DNA binding, GO:0045893: positive regulation of transcription, DNA-dependent, GO:0045944: positive regulation of transcription from RNA polymerase II promoter, GO:0045944: positive regulation of transcription from RNA polymerase II promoter, GO:0046982: protein heterodimerization activity, GO:0048704: embryonic skeletal system morphogenesis, GO:0060021: palate development</t>
  </si>
  <si>
    <t>56278_at</t>
  </si>
  <si>
    <t>G kinase anchoring protein 1</t>
  </si>
  <si>
    <t>GO:0005515: protein binding, GO:0005794: Golgi apparatus, GO:0007165: signal transduction, GO:0007199: G-protein coupled receptor signaling pathway coupled to cGMP nucleotide second messenger</t>
  </si>
  <si>
    <t>210801_at</t>
  </si>
  <si>
    <t>unc-5 homolog D (C. elegans)</t>
  </si>
  <si>
    <t>GO:0003674: molecular_function, GO:0006915: apoptotic process, GO:0007165: signal transduction, GO:0007275: multicellular organismal development, GO:0008150: biological_process, GO:0009986: cell surface, GO:0016020: membrane, GO:0016021: integral to membrane</t>
  </si>
  <si>
    <t>18227_at</t>
  </si>
  <si>
    <t>nuclear receptor subfamily 4, group A, member 2</t>
  </si>
  <si>
    <t>GO:0001666: response to hypoxia, GO:0001764: neuron migration, GO:0001975: response to amphetamine, GO:0003677: DNA binding, GO:0003700: sequence-specific DNA binding transcription factor activity, GO:0003707: steroid hormone receptor activity, GO:0004879: ligand-activated sequence-specific DNA binding RNA polymerase II transcription factor activity, GO:0005515: protein binding, GO:0005634: nucleus, GO:0005634: nucleus, GO:0005737: cytoplasm, GO:0006351: transcription, DNA-dependent, GO:0006351: transcription, DNA-dependent, GO:0006355: regulation of transcription, DNA-dependent, GO:0006357: regulation of transcription from RNA polymerase II promoter, GO:0006950: response to stress, GO:0007399: nervous system development, GO:0008270: zinc ion binding, GO:0008344: adult locomotory behavior, GO:0009791: post-embryonic development, GO:0010035: response to inorganic substance, GO:0010467: gene expression, GO:0016265: death, GO:0017085: response to insecticide, GO:0021952: central nervous system projection neuron axonogenesis, GO:0021953: central nervous system neuron differentiation, GO:0021986: habenula development, GO:0030182: neuron differentiation, GO:0031668: cellular response to extracellular stimulus, GO:0031668: cellular response to extracellular stimulus, GO:0033554: cellular response to stress, GO:0042053: regulation of dopamine metabolic process, GO:0042416: dopamine biosynthetic process, GO:0042417: dopamine metabolic process, GO:0042551: neuron maturation, GO:0043085: positive regulation of catalytic activity, GO:0043401: steroid hormone mediated signaling pathway, GO:0043524: negative regulation of neuron apoptotic process, GO:0043565: sequence-specific DNA binding, GO:0043565: sequence-specific DNA binding, GO:0043576: regulation of respiratory gaseous exchange,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GO:0046872: metal ion binding, GO:0046982: protein heterodimerization activity, GO:0071542: dopaminergic neuron differentiation</t>
  </si>
  <si>
    <t>100862378_at</t>
  </si>
  <si>
    <t>uncharacterized LOC100862378</t>
  </si>
  <si>
    <t>73139_at</t>
  </si>
  <si>
    <t>centromere protein V</t>
  </si>
  <si>
    <t>GO:0000775: chromosome, centromeric region, GO:0000776: kinetochore, GO:0000776: kinetochore, GO:0001667: ameboidal cell migration, GO:0003674: molecular_function, GO:0005634: nucleus, GO:0005634: nucleus, GO:0005694: chromosome, GO:0005737: cytoplasm, GO:0005856: cytoskeleton, GO:0007049: cell cycle, GO:0007067: mitosis, GO:0008152: metabolic process, GO:0015630: microtubule cytoskeleton, GO:0016846: carbon-sulfur lyase activity, GO:0031508: centromeric heterochromatin assembly, GO:0031508: centromeric heterochromatin assembly, GO:0032467: positive regulation of cytokinesis, GO:0032467: positive regulation of cytokinesis, GO:0033044: regulation of chromosome organization, GO:0033044: regulation of chromosome organization, GO:0034508: centromere complex assembly, GO:0034508: centromere complex assembly, GO:0051233: spindle midzone, GO:0051233: spindle midzone, GO:0051301: cell division</t>
  </si>
  <si>
    <t>54135_at</t>
  </si>
  <si>
    <t>lipolysis stimulated lipoprotein receptor</t>
  </si>
  <si>
    <t>GO:0001889: liver development, GO:0005886: plasma membrane, GO:0006898: receptor-mediated endocytosis, GO:0009790: embryo development, GO:0016020: membrane, GO:0016021: integral to membrane, GO:0019216: regulation of lipid metabolic process, GO:0030169: low-density lipoprotein particle binding, GO:0030228: lipoprotein particle receptor activity, GO:0034361: very-low-density lipoprotein particle, GO:0034362: low-density lipoprotein particle, GO:0042627: chylomicron, GO:0042953: lipoprotein transport</t>
  </si>
  <si>
    <t>18590_at</t>
  </si>
  <si>
    <t>platelet derived growth factor, alpha</t>
  </si>
  <si>
    <t>GO:0001525: angiogenesis, GO:0001942: hair follicle development, GO:0002053: positive regulation of mesenchymal cell proliferation, GO:0005161: platelet-derived growth factor receptor binding, GO:0005518: collagen binding, GO:0005576: extracellular region, GO:0005615: extracellular space, GO:0005615: extracellular space, GO:0005902: microvillus, GO:0007275: multicellular organismal development, GO:0008083: growth factor activity, GO:0008284: positive regulation of cell proliferation, GO:0008284: positive regulation of cell proliferation, GO:0009611: response to wounding, GO:0009887: organ morphogenesis, GO:0009887: organ morphogenesis, GO:0009986: cell surface, GO:0010512: negative regulation of phosphatidylinositol biosynthetic process, GO:0010544: negative regulation of platelet activation, GO:0014068: positive regulation of phosphatidylinositol 3-kinase cascade, GO:0014910: regulation of smooth muscle cell migration, GO:0016020: membrane, GO:0030031: cell projection assembly, GO:0030036: actin cytoskeleton organization, GO:0030335: positive regulation of cell migration, GO:0031954: positive regulation of protein autophosphorylation, GO:0035793: positive regulation of metanephric mesenchymal cell migration by platelet-derived growth factor receptor-beta signaling pathway, GO:0042803: protein homodimerization activity, GO:0043406: positive regulation of MAP kinase activity, GO:0043410: positive regulation of MAPK cascade, GO:0043498: cell surface binding, GO:0043499: eukaryotic cell surface binding, GO:0043588: skin development, GO:0045740: positive regulation of DNA replication, GO:0046982: protein heterodimerization activity, GO:0048008: platelet-derived growth factor receptor signaling pathway, GO:0048146: positive regulation of fibroblast proliferation, GO:0048286: lung alveolus development, GO:0048407: platelet-derived growth factor binding, GO:0048565: digestive tract development, GO:0050730: regulation of peptidyl-tyrosine phosphorylation, GO:0050919: negative chemotaxis, GO:0051781: positive regulation of cell division, GO:0051897: positive regulation of protein kinase B signaling cascade, GO:0060683: regulation of branching involved in salivary gland morphogenesis by epithelial-mesenchymal signaling, GO:0070374: positive regulation of ERK1 and ERK2 cascade</t>
  </si>
  <si>
    <t>04010: MAPK signaling pathway, 04060: Cytokine-cytokine receptor interaction, 04510: Focal adhesion, 04540: Gap junction, 04810: Regulation of actin cytoskeleton, 05200: Pathways in cancer, 05211: Renal cell carcinoma, 05214: Glioma, 05215: Prostate cancer, 05218: Melanoma</t>
  </si>
  <si>
    <t>14806_at</t>
  </si>
  <si>
    <t>glutamate receptor, ionotropic, kainate 2 (beta 2)</t>
  </si>
  <si>
    <t>GO:0001662: behavioral fear response, GO:0004872: receptor activity, GO:0004970: ionotropic glutamate receptor activity, GO:0005216: ion channel activity, GO:0005234: extracellular-glutamate-gated ion channel activity, GO:0005515: protein binding, GO:0005622: intracellular, GO:0005886: plasma membrane, GO:0005887: integral to plasma membrane, GO:0006810: transport, GO:0006811: ion transport, GO:0006874: cellular calcium ion homeostasis, GO:0006886: intracellular protein transport, GO:0007268: synaptic transmission, GO:0007268: synaptic transmission, GO:0007268: synaptic transmission, GO:0008066: glutamate receptor activity, GO:0008328: ionotropic glutamate receptor complex, GO:0008328: ionotropic glutamate receptor complex, GO:0015277: kainate selective glutamate receptor activity, GO:0015277: kainate selective glutamate receptor activity, GO:0015277: kainate selective glutamate receptor activity, GO:0015277: kainate selective glutamate receptor activity, GO:0016020: membrane, GO:0016021: integral to membrane, GO:0019228: regulation of action potential in neuron, GO:0030054: cell junction, GO:0030165: PDZ domain binding, GO:0030424: axon, GO:0030425: dendrite, GO:0031624: ubiquitin conjugating enzyme binding, GO:0031625: ubiquitin protein ligase binding, GO:0032839: dendrite cytoplasm, GO:0032983: kainate selective glutamate receptor complex, GO:0034220: ion transmembrane transport, GO:0034220: ion transmembrane transport, GO:0034220: ion transmembrane transport, GO:0034220: ion transmembrane transport, GO:0034220: ion transmembrane transport, GO:0035249: synaptic transmission, glutamatergic, GO:0042391: regulation of membrane potential, GO:0042391: regulation of membrane potential, GO:0042391: regulation of membrane potential, GO:0042734: presynaptic membrane, GO:0042802: identical protein binding, GO:0042803: protein homodimerization activity, GO:0043025: neuronal cell body, GO:0043113: receptor clustering, GO:0043195: terminal button, GO:0043204: perikaryon, GO:0043524: negative regulation of neuron apoptotic process, GO:0045202: synapse, GO:0045202: synapse, GO:0045211: postsynaptic membrane, GO:0046328: regulation of JNK cascade, GO:0048169: regulation of long-term neuronal synaptic plasticity, GO:0048172: regulation of short-term neuronal synaptic plasticity, GO:0048172: regulation of short-term neuronal synaptic plasticity, GO:0050804: regulation of synaptic transmission, GO:0050806: positive regulation of synaptic transmission, GO:0051402: neuron apoptotic process, GO:0051967: negative regulation of synaptic transmission, glutamatergic, GO:0051967: negative regulation of synaptic transmission, glutamatergic, GO:0060079: regulation of excitatory postsynaptic membrane potential, GO:0060079: regulation of excitatory postsynaptic membrane potential, GO:0060080: regulation of inhibitory postsynaptic membrane potential, GO:0060080: regulation of inhibitory postsynaptic membrane potential</t>
  </si>
  <si>
    <t>244579_at</t>
  </si>
  <si>
    <t>TOX high mobility group box family member 3</t>
  </si>
  <si>
    <t>GO:0003677: DNA binding, GO:0003682: chromatin binding, GO:0005622: intracellular, GO:0005634: nucleus, GO:0006351: transcription, DNA-dependent, GO:0006355: regulation of transcription, DNA-dependent, GO:0006915: apoptotic process, GO:0019722: calcium-mediated signaling, GO:0034056: estrogen response element binding, GO:0042803: protein homodimerization activity, GO:0043524: negative regulation of neuron apoptotic process, GO:0045768: positive regulation of anti-apoptosis, GO:0045893: positive regulation of transcription, DNA-dependent, GO:0051219: phosphoprotein binding</t>
  </si>
  <si>
    <t>16826_at</t>
  </si>
  <si>
    <t>LIM domain binding 2</t>
  </si>
  <si>
    <t>GO:0000989: transcription factor binding transcription factor activity, GO:0001942: hair follicle development, GO:0003712: transcription cofactor activity, GO:0005515: protein binding, GO:0005634: nucleus, GO:0005667: transcription factor complex, GO:0010669: epithelial structure maintenance, GO:0019899: enzyme binding, GO:0030274: LIM domain binding, GO:0035019: somatic stem cell maintenance, GO:0044089: positive regulation of cellular component biogenesis, GO:0045944: positive regulation of transcription from RNA polymerase II promoter, GO:2001141: regulation of RNA biosynthetic process, GO:2001141: regulation of RNA biosynthetic process</t>
  </si>
  <si>
    <t>11622_at</t>
  </si>
  <si>
    <t>aryl-hydrocarbon receptor</t>
  </si>
  <si>
    <t>GO:0000122: negative regulation of transcription from RNA polymerase II promoter, GO:0000902: cell morphogenesis, GO:0001541: ovarian follicle development, GO:0001568: blood vessel development, GO:0001569: patterning of blood vessels, GO:0001782: B cell homeostasis, GO:0001782: B cell homeostasis, GO:0001889: liver development, GO:0001922: B-1 B cell homeostasis, GO:0001974: blood vessel remodeling, GO:0002260: lymphocyte homeostasis, GO:0002260: lymphocyte homeostasis, GO:0002376: immune system process, GO:0003085: negative regulation of systemic arterial blood pressure, GO:0003214: cardiac left ventricle morphogenesis, GO:0003243: circumferential growth involved in left ventricle morphogenesis, GO:0003677: DNA binding, GO:0003677: DNA binding, GO:0003700: sequence-specific DNA binding transcription factor activity, GO:0003700: sequence-specific DNA binding transcription factor activity, GO:0003700: sequence-specific DNA binding transcription factor activity, GO:0003705: RNA polymerase II distal enhancer sequence-specific DNA binding transcription factor activity, GO:0004871: signal transducer activity, GO:0004874: aryl hydrocarbon receptor activity, GO:0004879: ligand-activated sequence-specific DNA binding RNA polymerase II transcription factor activity, GO:0004879: ligand-activated sequence-specific DNA binding RNA polymerase II transcription factor activity, GO:0005515: protein binding, GO:0005634: nucleus, GO:0005634: nucleus, GO:0005667: transcription factor complex, GO:0005737: cytoplasm, GO:0005737: cytoplasm, GO:0005829: cytosol, GO:0005829: cytosol, GO:0006351: transcription, DNA-dependent, GO:0006355: regulation of transcription, DNA-dependent, GO:0006355: regulation of transcription, DNA-dependent, GO:0006357: regulation of transcription from RNA polymerase II promoter, GO:0006366: transcription from RNA polymerase II promoter, GO:0006366: transcription from RNA polymerase II promoter, GO:0006805: xenobiotic metabolic process, GO:0006915: apoptotic process, GO:0006950: response to stress, GO:0006950: response to stress, GO:0007049: cell cycle, GO:0007165: signal transduction, GO:0008015: blood circulation, GO:0008134: transcription factor binding, GO:0008217: regulation of blood pressure, GO:0009410: response to xenobiotic stimulus, GO:0009410: response to xenobiotic stimulus, GO:0009636: response to toxin, GO:0010468: regulation of gene expression, GO:0014070: response to organic cyclic compound, GO:0030183: B cell differentiation, GO:0030522: intracellular receptor mediated signaling pathway, GO:0030522: intracellular receptor mediated signaling pathway, GO:0030850: prostate gland development, GO:0030888: regulation of B cell proliferation, GO:0034751: aryl hydrocarbon receptor complex, GO:0034752: cytosolic aryl hydrocarbon receptor complex, GO:0034753: nuclear aryl hydrocarbon receptor complex, GO:0035162: embryonic hemopoiesis, GO:0035166: post-embryonic hemopoiesis, GO:0040010: positive regulation of growth rate, GO:0043010: camera-type eye development, GO:0043029: T cell homeostasis, GO:0043565: sequence-specific DNA binding, GO:0044212: transcription regulatory region DNA binding, GO:0045793: positive regulation of cell size, GO:0045893: positive regulation of transcription, DNA-dependent, GO:0045899: positive regulation of RNA polymerase II transcriptional preinitiation complex assembly, GO:0045906: negative regulation of vasoconstriction, GO:0046982: protein heterodimerization activity, GO:0046983: protein dimerization activity, GO:0048514: blood vessel morphogenesis, GO:0048536: spleen development, GO:0048608: reproductive structure development, GO:0048732: gland development, GO:0048745: smooth muscle tissue development, GO:0050880: regulation of blood vessel size, GO:0051879: Hsp90 protein binding, GO:0051879: Hsp90 protein binding, GO:0060420: regulation of heart growth, GO:0060547: negative regulation of necrotic cell death, GO:0060841: venous blood vessel development, GO:0060993: kidney morphogenesis, GO:0061009: common bile duct development, GO:0071320: cellular response to cAMP, GO:0072102: glomerulus morphogenesis</t>
  </si>
  <si>
    <t>GO:0001568: blood vessel development, GO:0001822: kidney development, GO:0003184: pulmonary valve morphogenesis, GO:0003281: ventricular septum development, GO:0005886: plasma membrane, GO:0006810: transport, GO:0007507: heart development, GO:0007612: learning, GO:0007631: feeding behavior, GO:0016020: membrane, GO:0016021: integral to membrane, GO:0030324: lung development, GO:0030325: adrenal gland development, GO:0030540: female genitalia development, GO:0042297: vocal learning, GO:0043234: protein complex, GO:0043583: ear development, GO:0043585: nose morphogenesis, GO:0048286: lung alveolus development, GO:0048520: positive regulation of behavior, GO:0048546: digestive tract morphogenesis, GO:0048566: embryonic digestive tract development, GO:0048589: developmental growth, GO:0048745: smooth muscle tissue development, GO:0048844: artery morphogenesis, GO:0050890: cognition, GO:0050905: neuromuscular process, GO:0060322: head development, GO:0060323: head morphogenesis, GO:0060325: face morphogenesis, GO:0060426: lung vasculature development, GO:0060539: diaphragm development, GO:0060900: embryonic camera-type eye formation, GO:0061029: eyelid development in camera-type eye, GO:0061038: uterus morphogenesis, GO:0061143: alveolar primary septum development, GO:0061156: pulmonary artery morphogenesis, GO:0061205: paramesonephric duct development</t>
  </si>
  <si>
    <t>14395_at</t>
  </si>
  <si>
    <t>gamma-aminobutyric acid (GABA) A receptor, subunit alpha 2</t>
  </si>
  <si>
    <t>GO:0001505: regulation of neurotransmitter levels, GO:0004890: GABA-A receptor activity, GO:0005216: ion channel activity, GO:0005230: extracellular ligand-gated ion channel activity, GO:0005254: chloride channel activity, GO:0005886: plasma membrane, GO:0006810: transport, GO:0006811: ion transport, GO:0006821: chloride transport, GO:0006836: neurotransmitter transport, GO:0007165: signal transduction, GO:0007214: gamma-aminobutyric acid signaling pathway, GO:0008503: benzodiazepine receptor activity, GO:0016020: membrane, GO:0016021: integral to membrane, GO:0030054: cell junction, GO:0030285: integral to synaptic vesicle membrane, GO:0030424: axon, GO:0034220: ion transmembrane transport, GO:0034707: chloride channel complex, GO:0045202: synapse, GO:0045211: postsynaptic membrane</t>
  </si>
  <si>
    <t>16842_at</t>
  </si>
  <si>
    <t>lymphoid enhancer binding factor 1</t>
  </si>
  <si>
    <t>110333_at</t>
  </si>
  <si>
    <t>rhabdomyosarcoma 2 associated transcript (non-coding RNA)</t>
  </si>
  <si>
    <t>20897_at</t>
  </si>
  <si>
    <t>stimulated by retinoic acid gene 6</t>
  </si>
  <si>
    <t>GO:0000122: negative regulation of transcription from RNA polymerase II promoter, GO:0001569: patterning of blood vessels, GO:0001649: osteoblast differentiation, GO:0001755: neural crest cell migration, GO:0001756: somitogenesis, GO:0001756: somitogenesis, GO:0001837: epithelial to mesenchymal transition, GO:0001944: vasculature development, GO:0002040: sprouting angiogenesis, GO:0003677: DNA binding, GO:0003682: chromatin binding, GO:0003700: sequence-specific DNA binding transcription factor activity, GO:0003700: sequence-specific DNA binding transcription factor activity, GO:0003705: RNA polymerase II distal enhancer sequence-specific DNA binding transcription factor activity, GO:0005515: protein binding, GO:0005634: nucleus, GO:0005634: nucleus, GO:0005667: transcription factor complex, GO:0005667: transcription factor complex, GO:0005737: cytoplasm, GO:0005737: cytoplasm, GO:0006351: transcription, DNA-dependent, GO:0006355: regulation of transcription, DNA-dependent, GO:0006357: regulation of transcription from RNA polymerase II promoter, GO:0006917: induction of apoptosis, GO:0008013: beta-catenin binding, GO:0008013: beta-catenin binding, GO:0008134: transcription factor binding, GO:0008284: positive regulation of cell proliferation, GO:0008301: DNA binding, bending, GO:0010628: positive regulation of gene expression, GO:0010718: positive regulation of epithelial to mesenchymal transition, GO:0016055: Wnt receptor signaling pathway, GO:0016055: Wnt receptor signaling pathway, GO:0016055: Wnt receptor signaling pathway, GO:0016055: Wnt receptor signaling pathway, GO:0021542: dentate gyrus development, GO:0021766: hippocampus development, GO:0021854: hypothalamus development, GO:0021861: forebrain radial glial cell differentiation, GO:0021873: forebrain neuroblast division, GO:0021879: forebrain neuron differentiation, GO:0021943: formation of radial glial scaffolds, GO:0022407: regulation of cell-cell adhesion, GO:0022408: negative regulation of cell-cell adhesion, GO:0022409: positive regulation of cell-cell adhesion, GO:0030111: regulation of Wnt receptor signaling pathway, GO:0030223: neutrophil differentiation, GO:0030223: neutrophil differentiation, GO:0030284: estrogen receptor activity, GO:0030307: positive regulation of cell growth, GO:0030326: embryonic limb morphogenesis, GO:0030331: estrogen receptor binding, GO:0030331: estrogen receptor binding, GO:0030335: positive regulation of cell migration, GO:0030509: BMP signaling pathway, GO:0030520: intracellular estrogen receptor signaling pathway, GO:0030854: positive regulation of granulocyte differentiation, GO:0030879: mammary gland development, GO:0032696: negative regulation of interleukin-13 production, GO:0032696: negative regulation of interleukin-13 production, GO:0032713: negative regulation of interleukin-4 production, GO:0032713: negative regulation of interleukin-4 production, GO:0032714: negative regulation of interleukin-5 production, GO:0032714: negative regulation of interleukin-5 production, GO:0032993: protein-DNA complex, GO:0033153: T cell receptor V(D)J recombination, GO:0035326: enhancer binding, GO:0035326: enhancer binding, GO:0042100: B cell proliferation, GO:0042393: histone binding, GO:0042475: odontogenesis of dentin-containing tooth, GO:0042475: odontogenesis of dentin-containing tooth, GO:0043027: cysteine-type endopeptidase inhibitor activity involved in apoptotic process, GO:0043066: negative regulation of apoptotic process, GO:0043154: negative regulation of cysteine-type endopeptidase activity involved in apoptotic process, GO:0043154: negative regulation of cysteine-type endopeptidase activity involved in apoptotic process, GO:0043392: negative regulation of DNA binding, GO:0043401: steroid hormone mediated signaling pathway, GO:0043565: sequence-specific DNA binding, GO:0043565: sequence-specific DNA binding, GO:0043586: tongue development, GO:0043923: positive regulation by host of viral transcription, GO:0043966: histone H3 acetylation, GO:0043967: histone H4 acetylation, GO:0044212: transcription regulatory region DNA binding, GO:0044212: transcription regulatory region DNA binding, GO:0045063: T-helper 1 cell differentiation, GO:0045295: gamma-catenin binding, GO:0045295: gamma-catenin binding, GO:0045843: negative regulation of striated muscle tissue development, GO:0045892: negative regulation of transcription, DNA-dependent, GO:0045892: negative regulation of transcription, DNA-dependent, GO:0045893: positive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GO:0045944: positive regulation of transcription from RNA polymerase II promoter, GO:0046632: alpha-beta T cell differentiation, GO:0048069: eye pigmentation, GO:0048341: paraxial mesoderm formation, GO:0048468: cell development, GO:0048747: muscle fiber development, GO:0050909: sensory perception of taste, GO:0060021: palate development, GO:0060033: anatomical structure regression, GO:0060070: canonical Wnt receptor signaling pathway, GO:0060070: canonical Wnt receptor signaling pathway, GO:0060325: face morphogenesis, GO:0060326: cell chemotaxis, GO:0060561: apoptotic process involved in morphogenesis, GO:0060710: chorio-allantoic fusion, GO:0061153: trachea gland development, GO:0070016: armadillo repeat domain binding, GO:0070016: armadillo repeat domain binding, GO:0070742: C2H2 zinc finger domain binding, GO:0071353: cellular response to interleukin-4, GO:0071864: positive regulation of cell proliferation in bone marrow, GO:0071864: positive regulation of cell proliferation in bone marrow, GO:0071866: negative regulation of apoptotic process in bone marrow, GO:0071866: negative regulation of apoptotic process in bone marrow, GO:0071895: odontoblast differentiation, GO:0071895: odontoblast differentiation, GO:0071899: negative regulation of estrogen receptor binding, GO:0090068: positive regulation of cell cycle process, GO:0090090: negative regulation of canonical Wnt receptor signaling pathway</t>
  </si>
  <si>
    <t>GO:0003824: catalytic activity, GO:0005515: protein binding, GO:0005576: extracellular region, GO:0005886: plasma membrane, GO:0005887: integral to plasma membrane, GO:0005975: carbohydrate metabolic process, GO:0007165: signal transduction, GO:0007224: smoothened signaling pathway, GO:0007405: neuroblast proliferation, GO:0008270: zinc ion binding, GO:0009887: organ morphogenesis, GO:0009953: dorsal/ventral pattern formation, GO:0009968: negative regulation of signal transduction, GO:0009986: cell surface, GO:0016020: membrane, GO:0016525: negative regulation of angiogenesis, GO:0016901: oxidoreductase activity, acting on the CH-OH group of donors, quinone or similar compound as acceptor, GO:0040036: regulation of fibroblast growth factor receptor signaling pathway, GO:0045879: negative regulation of smoothened signaling pathway, GO:0046872: metal ion binding, GO:0048038: quinone binding, GO:0048705: skeletal system morphogenesis, GO:0055114: oxidation-reduction process, GO:0060441: epithelial tube branching involved in lung morphogenesis, GO:0097108: hedgehog family protein binding</t>
  </si>
  <si>
    <t>18755_at</t>
  </si>
  <si>
    <t>protein kinase C, eta</t>
  </si>
  <si>
    <t>GO:0004842: ubiquitin-protein ligase activity, GO:0005634: nucleus, GO:0005783: endoplasmic reticulum, GO:0005886: plasma membrane, GO:0005887: integral to plasma membrane, GO:0008152: metabolic process, GO:0008270: zinc ion binding, GO:0016020: membrane, GO:0016021: integral to membrane, GO:0016055: Wnt receptor signaling pathway, GO:0016567: protein ubiquitination, GO:0016874: ligase activity, GO:0030178: negative regulation of Wnt receptor signaling pathway, GO:0046872: metal ion binding</t>
  </si>
  <si>
    <t>24117_at</t>
  </si>
  <si>
    <t>Wnt inhibitory factor 1</t>
  </si>
  <si>
    <t>04310: Wnt signaling pathway, 04520: Adherens junction, 04916: Melanogenesis, 05200: Pathways in cancer, 05210: Colorectal cancer, 05213: Endometrial cancer, 05215: Prostate cancer, 05216: Thyroid cancer, 05217: Basal cell carcinoma, 05221: Acute myeloid leukemia, 05412: Arrhythmogenic right ventricular cardiomyopathy (ARVC)</t>
  </si>
  <si>
    <t>15245_at</t>
  </si>
  <si>
    <t>Hedgehog-interacting protein</t>
  </si>
  <si>
    <t>GO:0005576: extracellular region, GO:0007275: multicellular organismal development, GO:0016055: Wnt receptor signaling pathway, GO:0017147: Wnt-protein binding, GO:0030178: negative regulation of Wnt receptor signaling pathway, GO:0045600: positive regulation of fat cell differentiation</t>
  </si>
  <si>
    <t>17702_at</t>
  </si>
  <si>
    <t>homeobox, msh-like 2</t>
  </si>
  <si>
    <t>GO:0000166: nucleotide binding, GO:0004672: protein kinase activity, GO:0004674: protein serine/threonine kinase activity, GO:0004697: protein kinase C activity, GO:0004699: calcium-independent protein kinase C activity, GO:0005515: protein binding, GO:0005524: ATP binding, GO:0005622: intracellular, GO:0005737: cytoplasm, GO:0005829: cytosol, GO:0005829: cytosol, GO:0005886: plasma membrane, GO:0005886: plasma membrane, GO:0006468: protein phosphorylation, GO:0010744: positive regulation of macrophage derived foam cell differentiation, GO:0016301: kinase activity, GO:0016310: phosphorylation, GO:0016740: transferase activity, GO:0016772: transferase activity, transferring phosphorus-containing groups, GO:0017160: Ral GTPase binding, GO:0019899: enzyme binding, GO:0030154: cell differentiation, GO:0034351: negative regulation of glial cell apoptotic process, GO:0035556: intracellular signal transduction, GO:0045618: positive regulation of keratinocyte differentiation, GO:0046872: metal ion binding, GO:0050861: positive regulation of B cell receptor signaling pathway, GO:0051092: positive regulation of NF-kappaB transcription factor activity, GO:0060252: positive regulation of glial cell proliferation, GO:0070528: protein kinase C signaling cascade, GO:2000810: regulation of tight junction assembly</t>
  </si>
  <si>
    <t>04270: Vascular smooth muscle contraction, 04530: Tight junction</t>
  </si>
  <si>
    <t>207742_at</t>
  </si>
  <si>
    <t>ring finger protein 43</t>
  </si>
  <si>
    <t>GO:0000122: negative regulation of transcription from RNA polymerase II promoter, GO:0000122: negative regulation of transcription from RNA polymerase II promoter, GO:0000978: RNA polymerase II core promoter proximal region sequence-specific DNA binding, GO:0000982: RNA polymerase II core promoter proximal region sequence-specific DNA binding transcription factor activity, GO:0000989: transcription factor binding transcription factor activity, GO:0001503: ossification, GO:0001649: osteoblast differentiation, GO:0002063: chondrocyte development, GO:0002076: osteoblast development, GO:0003148: outflow tract septum morphogenesis, GO:0003151: outflow tract morphogenesis, GO:0003198: epithelial to mesenchymal transition involved in endocardial cushion formation, GO:0003416: endochondral bone growth, GO:0003677: DNA binding, GO:0003700: sequence-specific DNA binding transcription factor activity, GO:0005515: protein binding, GO:0005634: nucleus, GO:0005667: transcription factor complex, GO:0005737: cytoplasm, GO:0006351: transcription, DNA-dependent, GO:0006355: regulation of transcription, DNA-dependent, GO:0006366: transcription from RNA polymerase II promoter, GO:0007275: multicellular organismal development, GO:0008134: transcription factor binding, GO:0008285: negative regulation of cell proliferation, GO:0009952: anterior/posterior pattern specification, GO:0023019: signal transduction involved in regulation of gene expression, GO:0030326: embryonic limb morphogenesis, GO:0030509: BMP signaling pathway, GO:0030509: BMP signaling pathway, GO:0030513: positive regulation of BMP signaling pathway, GO:0032792: negative regulation of CREB transcription factor activity, GO:0035115: embryonic forelimb morphogenesis, GO:0035116: embryonic hindlimb morphogenesis, GO:0035313: wound healing, spreading of epidermal cells, GO:0035880: embryonic nail plate morphogenesis, GO:0042060: wound healing, GO:0042476: odontogenesis, GO:0042640: anagen, GO:0042733: embryonic digit morphogenesis, GO:0042981: regulation of apoptotic process, GO:0042981: regulation of apoptotic process, GO:0043065: positive regulation of apoptotic process, GO:0043066: negative regulation of apoptotic process, GO:0043565: sequence-specific DNA binding, GO:0044212: transcription regulatory region DNA binding, GO:0045599: negative regulation of fat cell differentiation, GO:0045617: negative regulation of keratinocyte differentiation, GO:0045669: positive regulation of osteoblast differentiation, GO:0045892: negative regulation of transcription, DNA-dependent, GO:0048863: stem cell differentiation, GO:0051216: cartilage development, GO:0051216: cartilage development, GO:0051795: positive regulation of catagen, GO:0060346: bone trabecula formation, GO:0060349: bone morphogenesis, GO:0060364: frontal suture morphogenesis, GO:0060444: branching involved in mammary gland duct morphogenesis, GO:0061180: mammary gland epithelium development, GO:0061312: BMP signaling pathway involved in heart development, GO:0070166: enamel mineralization, GO:0071363: cellular response to growth factor stimulus, GO:0071392: cellular response to estradiol stimulus, GO:2000678: negative regulation of transcription regulatory region DNA binding</t>
  </si>
  <si>
    <t>12393_at</t>
  </si>
  <si>
    <t>runt related transcription factor 2</t>
  </si>
  <si>
    <t>GO:0000790: nuclear chromatin, GO:0001501: skeletal system development, GO:0001649: osteoblast differentiation, GO:0001649: osteoblast differentiation, GO:0001958: endochondral ossification, GO:0002051: osteoblast fate commitment, GO:0002062: chondrocyte differentiation, GO:0002063: chondrocyte development, GO:0002076: osteoblast development, GO:0003677: DNA binding, GO:0003677: DNA binding, GO:0003682: chromatin binding, GO:0003700: sequence-specific DNA binding transcription factor activity, GO:0003700: sequence-specific DNA binding transcription factor activity, GO:0005515: protein binding, GO:0005524: ATP binding, GO:0005634: nucleus, GO:0005634: nucleus, GO:0005667: transcription factor complex, GO:0005737: cytoplasm, GO:0006351: transcription, DNA-dependent, GO:0006355: regulation of transcription, DNA-dependent, GO:0008134: transcription factor binding, GO:0008284: positive regulation of cell proliferation, GO:0008284: positive regulation of cell proliferation, GO:0019904: protein domain specific binding, GO:0030217: T cell differentiation, GO:0030278: regulation of ossification, GO:0032332: positive regulation of chondrocyte differentiation, GO:0040036: regulation of fibroblast growth factor receptor signaling pathway, GO:0042475: odontogenesis of dentin-containing tooth, GO:0042487: regulation of odontogenesis of dentin-containing tooth, GO:0043425: bHLH transcription factor binding, GO:0044212: transcription regulatory region DNA binding, GO:0045667: regulation of osteoblast differentiation, GO:0045669: positive regulation of osteoblast differentiation, GO:0045669: positive regulation of osteoblast differentiation, GO:0045778: positive regulation of ossification, GO:0045879: negative regulation of smoothened signaling pathway, GO:0045892: negative regulation of transcription, DNA-dependent, GO:0045892: negative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GO:0048469: cell maturation, GO:0048469: cell maturation, GO:0048701: embryonic cranial skeleton morphogenesis, GO:0048705: skeletal system morphogenesis, GO:0048863: stem cell differentiation, GO:0070491: repressing transcription factor binding</t>
  </si>
  <si>
    <t>16772_at</t>
  </si>
  <si>
    <t>laminin, alpha 1</t>
  </si>
  <si>
    <t>GO:0002011: morphogenesis of an epithelial sheet, GO:0005102: receptor binding, GO:0005201: extracellular matrix structural constituent, GO:0005515: protein binding, GO:0005576: extracellular region, GO:0005578: proteinaceous extracellular matrix, GO:0005604: basement membrane, GO:0005604: basement membrane, GO:0005605: basal lamina, GO:0005606: laminin-1 complex, GO:0005606: laminin-1 complex, GO:0005608: laminin-3 complex, GO:0005615: extracellular space, GO:0005911: cell-cell junction, GO:0007155: cell adhesion, GO:0007166: cell surface receptor signaling pathway, GO:0009888: tissue development, GO:0030155: regulation of cell adhesion, GO:0030334: regulation of cell migration, GO:0031012: extracellular matrix, GO:0031175: neuron projection development, GO:0043208: glycosphingolipid binding, GO:0043256: laminin complex, GO:0045198: establishment of epithelial cell apical/basal polarity, GO:0045995: regulation of embryonic development, GO:0060041: retina development in camera-type eye, GO:0060441: epithelial tube branching involved in lung morphogenesis, GO:0060445: branching involved in salivary gland morphogenesis, GO:0061304: retinal blood vessel morphogenesis</t>
  </si>
  <si>
    <t>11668_at</t>
  </si>
  <si>
    <t>aldehyde dehydrogenase family 1, subfamily A1</t>
  </si>
  <si>
    <t>GO:0001758: retinal dehydrogenase activity, GO:0002072: optic cup morphogenesis involved in camera-type eye development, GO:0002138: retinoic acid biosynthetic process, GO:0004028: 3-chloroallyl aldehyde dehydrogenase activity, GO:0004029: aldehyde dehydrogenase (NAD) activity, GO:0005634: nucleus, GO:0005737: cytoplasm, GO:0006979: response to oxidative stress, GO:0008152: metabolic process, GO:0016491: oxidoreductase activity, GO:0016620: oxidoreductase activity, acting on the aldehyde or oxo group of donors, NAD or NADP as acceptor, GO:0018479: benzaldehyde dehydrogenase (NAD+) activity, GO:0042493: response to drug, GO:0042572: retinol metabolic process, GO:0042573: retinoic acid metabolic process, GO:0042573: retinoic acid metabolic process, GO:0042573: retinoic acid metabolic process, GO:0042802: identical protein binding, GO:0042904: 9-cis-retinoic acid biosynthetic process, GO:0042905: 9-cis-retinoic acid metabolic process, GO:0043065: positive regulation of apoptotic process, GO:0045471: response to ethanol, GO:0048048: embryonic eye morphogenesis, GO:0051289: protein homotetramerization, GO:0055114: oxidation-reduction process</t>
  </si>
  <si>
    <t>00010: Glycolysis / Gluconeogenesis, 00040: Pentose and glucuronate interconversions, 00053: Ascorbate and aldarate metabolism, 00071: Fatty acid metabolism, 00280: Valine, leucine and isoleucine degradation, 00310: Lysine degradation, 00330: Arginine and proline metabolism, 00340: Histidine metabolism, 00380: Tryptophan metabolism, 00410: beta-Alanine metabolism, 00561: Glycerolipid metabolism, 00620: Pyruvate metabolism, 00640: Propanoate metabolism, 01100: Metabolic pathways</t>
  </si>
  <si>
    <t>170765_at</t>
  </si>
  <si>
    <t>ripply3 homolog (zebrafish)</t>
  </si>
  <si>
    <t>GO:0000122: negative regulation of transcription from RNA polymerase II promoter, GO:0005515: protein binding, GO:0005575: cellular_component, GO:0005634: nucleus, GO:0007507: heart development, GO:0060037: pharyngeal system development</t>
  </si>
  <si>
    <t>245386_at</t>
  </si>
  <si>
    <t>family with sequence similarity 70, member A</t>
  </si>
  <si>
    <t>70713_at</t>
  </si>
  <si>
    <t>57874_at</t>
  </si>
  <si>
    <t>protein tyrosine phosphatase-like A domain containing 1</t>
  </si>
  <si>
    <t>GO:0005515: protein binding, GO:0005622: intracellular, GO:0005783: endoplasmic reticulum, GO:0006633: fatty acid biosynthetic process, GO:0007249: I-kappaB kinase/NF-kappaB cascade, GO:0007254: JNK cascade, GO:0007266: Rho protein signal transduction, GO:0008610: lipid biosynthetic process, GO:0016020: membrane, GO:0016021: integral to membrane, GO:0016829: lyase activity</t>
  </si>
  <si>
    <t>237175_at</t>
  </si>
  <si>
    <t>G protein-coupled receptor 64</t>
  </si>
  <si>
    <t>GO:0004871: signal transducer activity, GO:0004888: transmembrane signaling receptor activity, GO:0004930: G-protein coupled receptor activity, GO:0005737: cytoplasm, GO:0005886: plasma membrane, GO:0007165: signal transduction, GO:0007166: cell surface receptor signaling pathway, GO:0007186: G-protein coupled receptor signaling pathway, GO:0007218: neuropeptide signaling pathway, GO:0016020: membrane, GO:0016021: integral to membrane, GO:0016324: apical plasma membrane</t>
  </si>
  <si>
    <t>16518_at</t>
  </si>
  <si>
    <t>potassium inwardly-rectifying channel, subfamily J, member 2</t>
  </si>
  <si>
    <t>GO:0005216: ion channel activity, GO:0005242: inward rectifier potassium channel activity, GO:0005244: voltage-gated ion channel activity, GO:0005515: protein binding, GO:0006810: transport, GO:0006811: ion transport, GO:0006813: potassium ion transport, GO:0015693: magnesium ion transport, GO:0016020: membrane, GO:0016021: integral to membrane, GO:0030425: dendrite, GO:0034765: regulation of ion transmembrane transport, GO:0042802: identical protein binding, GO:0043025: neuronal cell body, GO:0071805: potassium ion transmembrane transport, GO:0086001: regulation of cardiac muscle cell action potential</t>
  </si>
  <si>
    <t>213469_at</t>
  </si>
  <si>
    <t>leucine-rich repeat LGI family, member 3</t>
  </si>
  <si>
    <t>GO:0005515: protein binding, GO:0005576: extracellular region, GO:0006887: exocytosis, GO:0008021: synaptic vesicle, GO:0017157: regulation of exocytosis, GO:0030054: cell junction, GO:0031410: cytoplasmic vesicle, GO:0043005: neuron projection, GO:0045202: synapse</t>
  </si>
  <si>
    <t>18231_at</t>
  </si>
  <si>
    <t>neurexophilin 1</t>
  </si>
  <si>
    <t>GO:0005102: receptor binding, GO:0005576: extracellular region</t>
  </si>
  <si>
    <t>269109_at</t>
  </si>
  <si>
    <t>dipeptidylpeptidase 10</t>
  </si>
  <si>
    <t>GO:0006508: proteolysis, GO:0008236: serine-type peptidase activity, GO:0016020: membrane, GO:0016021: integral to membrane</t>
  </si>
  <si>
    <t>14180_at</t>
  </si>
  <si>
    <t>fibroblast growth factor 9</t>
  </si>
  <si>
    <t>G protein-coupled receptor 137C</t>
  </si>
  <si>
    <t>72413_at</t>
  </si>
  <si>
    <t>potassium large conductance calcium-activated channel, subfamily M, beta member 2</t>
  </si>
  <si>
    <t>GO:0001508: regulation of action potential, GO:0005216: ion channel activity, GO:0005267: potassium channel activity, GO:0005513: detection of calcium ion, GO:0005887: integral to plasma membrane, GO:0006810: transport, GO:0006811: ion transport, GO:0006813: potassium ion transport, GO:0008076: voltage-gated potassium channel complex, GO:0015269: calcium-activated potassium channel activity, GO:0016020: membrane, GO:0016021: integral to membrane, GO:0019228: regulation of action potential in neuron, GO:0034220: ion transmembrane transport, GO:0071805: potassium ion transmembrane transport</t>
  </si>
  <si>
    <t>GO:0001525: angiogenesis, GO:0001525: angiogenesis, GO:0001649: osteoblast differentiation, GO:0002053: positive regulation of mesenchymal cell proliferation, GO:0002053: positive regulation of mesenchymal cell proliferation, GO:0002062: chondrocyte differentiation, GO:0002062: chondrocyte differentiation, GO:0003214: cardiac left ventricle morphogenesis, GO:0003231: cardiac ventricle development, GO:0005104: fibroblast growth factor receptor binding, GO:0005576: extracellular region, GO:0005604: basement membrane, GO:0005615: extracellular space, GO:0005622: intracellular, GO:0005737: cytoplasm, GO:0006606: protein import into nucleus, GO:0007267: cell-cell signaling, GO:0007275: multicellular organismal development, GO:0008083: growth factor activity, GO:0008201: heparin binding, GO:0008284: positive regulation of cell proliferation, GO:0008284: positive regulation of cell proliferation, GO:0008284: positive regulation of cell proliferation, GO:0008543: fibroblast growth factor receptor signaling pathway, GO:0008543: fibroblast growth factor receptor signaling pathway, GO:0008543: fibroblast growth factor receptor signaling pathway, GO:0008584: male gonad development, GO:0010628: positive regulation of gene expression, GO:0030154: cell differentiation, GO:0030178: negative regulation of Wnt receptor signaling pathway, GO:0030238: male sex determination, GO:0030238: male sex determination, GO:0030324: lung development, GO:0030324: lung development, GO:0030326: embryonic limb morphogenesis, GO:0030949: positive regulation of vascular endothelial growth factor receptor signaling pathway, GO:0042472: inner ear morphogenesis, GO:0043410: positive regulation of MAPK cascade, GO:0045880: positive regulation of smoothened signaling pathway, GO:0045880: positive regulation of smoothened signaling pathway, GO:0045893: positive regulation of transcription, DNA-dependent, GO:0048505: regulation of timing of cell differentiation, GO:0048566: embryonic digestive tract development, GO:0048706: embryonic skeletal system development, GO:0050679: positive regulation of epithelial cell proliferation, GO:0050679: positive regulation of epithelial cell proliferation, GO:0051781: positive regulation of cell division, GO:0060045: positive regulation of cardiac muscle cell proliferation, GO:0060045: positive regulation of cardiac muscle cell proliferation, GO:0060045: positive regulation of cardiac muscle cell proliferation, GO:0060484: lung-associated mesenchyme development, GO:0060979: vasculogenesis involved in coronary vascular morphogenesis, GO:0090263: positive regulation of canonical Wnt receptor signaling pathway</t>
  </si>
  <si>
    <t>GO:0002027: regulation of heart rate, GO:0004872: receptor activity, GO:0005576: extracellular region, GO:0006915: apoptotic process, GO:0007275: multicellular organismal development, GO:0007399: nervous system development, GO:0007411: axon guidance, GO:0007411: axon guidance, GO:0007411: axon guidance, GO:0007413: axonal fasciculation, GO:0010633: negative regulation of epithelial cell migration, GO:0016020: membrane, GO:0030154: cell differentiation, GO:0030424: axon, GO:0030425: dendrite, GO:0030517: negative regulation of axon extension, GO:0030517: negative regulation of axon extension, GO:0030517: negative regulation of axon extension, GO:0045499: chemorepellent activity, GO:0048813: dendrite morphogenesis, GO:0048841: regulation of axon extension involved in axon guidance, GO:0048841: regulation of axon extension involved in axon guidance, GO:0048843: negative regulation of axon extension involved in axon guidance, GO:0048843: negative regulation of axon extension involved in axon guidance, GO:0050919: negative chemotaxis, GO:0060666: dichotomous subdivision of terminal units involved in salivary gland branching, GO:0060666: dichotomous subdivision of terminal units involved in salivary gland branching</t>
  </si>
  <si>
    <t>54524_at</t>
  </si>
  <si>
    <t>synaptotagmin VI</t>
  </si>
  <si>
    <t>GO:0005215: transporter activity, GO:0005515: protein binding, GO:0005623: cell, GO:0005737: cytoplasm, GO:0005829: cytosol, GO:0005886: plasma membrane, GO:0006810: transport, GO:0007340: acrosome reaction, GO:0008021: synaptic vesicle, GO:0016020: membrane, GO:0016021: integral to membrane, GO:0019905: syntaxin binding, GO:0030054: cell junction, GO:0030276: clathrin binding, GO:0031410: cytoplasmic vesicle, GO:0042802: identical protein binding, GO:0042803: protein homodimerization activity, GO:0042803: protein homodimerization activity, GO:0045202: synapse, GO:0046872: metal ion binding, GO:0046982: protein heterodimerization activity, GO:0048306: calcium-dependent protein binding, GO:0060478: acrosomal vesicle exocytosis, GO:0097038: perinuclear endoplasmic reticulum</t>
  </si>
  <si>
    <t>18124_at</t>
  </si>
  <si>
    <t>nuclear receptor subfamily 4, group A, member 3</t>
  </si>
  <si>
    <t>80883_at</t>
  </si>
  <si>
    <t>netrin G1</t>
  </si>
  <si>
    <t>GO:0005886: plasma membrane, GO:0007275: multicellular organismal development, GO:0007399: nervous system development, GO:0007409: axonogenesis, GO:0016020: membrane, GO:0030154: cell differentiation, GO:0031225: anchored to membrane, GO:0046658: anchored to plasma membrane</t>
  </si>
  <si>
    <t>20346_at</t>
  </si>
  <si>
    <t>sema domain, immunoglobulin domain (Ig), short basic domain, secreted, (semaphorin) 3A</t>
  </si>
  <si>
    <t>GO:0001077: RNA polymerase II core promoter proximal region sequence-specific DNA binding transcription factor activity involved in positive regulation of transcription, GO:0001707: mesoderm formation, GO:0003677: DNA binding, GO:0003700: sequence-specific DNA binding transcription factor activity, GO:0003707: steroid hormone receptor activity, GO:0004879: ligand-activated sequence-specific DNA binding RNA polymerase II transcription factor activity, GO:0005634: nucleus, GO:0005667: transcription factor complex, GO:0006351: transcription, DNA-dependent, GO:0006355: regulation of transcription, DNA-dependent, GO:0006357: regulation of transcription from RNA polymerase II promoter, GO:0007411: axon guidance, GO:0008270: zinc ion binding, GO:0021766: hippocampus development, GO:0030534: adult behavior, GO:0033554: cellular response to stress, GO:0042472: inner ear morphogenesis, GO:0043066: negative regulation of apoptotic process, GO:0043401: steroid hormone mediated signaling pathway, GO:0043524: negative regulation of neuron apoptotic process, GO:0043565: sequence-specific DNA binding, GO:0045787: positive regulation of cell cycle, GO:0045944: positive regulation of transcription from RNA polymerase II promoter, GO:0045944: positive regulation of transcription from RNA polymerase II promoter, GO:0046872: metal ion binding, GO:0048752: semicircular canal morphogenesis, GO:0050885: neuromuscular process controlling balance, GO:0060005: vestibular reflex, GO:2000108: positive regulation of leukocyte apoptotic process</t>
  </si>
  <si>
    <t>381338_at</t>
  </si>
  <si>
    <t>LON peptidase N-terminal domain and ring finger 2</t>
  </si>
  <si>
    <t>56213_at</t>
  </si>
  <si>
    <t>HtrA serine peptidase 1</t>
  </si>
  <si>
    <t>GO:0001558: regulation of cell growth, GO:0003824: catalytic activity, GO:0004252: serine-type endopeptidase activity, GO:0005515: protein binding, GO:0005520: insulin-like growth factor binding, GO:0005576: extracellular region, GO:0005737: cytoplasm, GO:0006508: proteolysis, GO:0008152: metabolic process, GO:0008233: peptidase activity, GO:0008236: serine-type peptidase activity, GO:0016787: hydrolase activity, GO:0019838: growth factor binding, GO:0030512: negative regulation of transforming growth factor beta receptor signaling pathway, GO:0030514: negative regulation of BMP signaling pathway</t>
  </si>
  <si>
    <t>380928_at</t>
  </si>
  <si>
    <t>LIM domain only 7</t>
  </si>
  <si>
    <t>GO:0005913: cell-cell adherens junction, GO:0008022: protein C-terminus binding, GO:0016324: apical plasma membrane, GO:0016337: cell-cell adhesion, GO:0042805: actinin binding, GO:0046872: metal ion binding</t>
  </si>
  <si>
    <t>04520: Adherens junction</t>
  </si>
  <si>
    <t>23964_at</t>
  </si>
  <si>
    <t>odd Oz/ten-m homolog 2 (Drosophila)</t>
  </si>
  <si>
    <t>GO:0003674: molecular_function, GO:0005887: integral to plasma membrane, GO:0007165: signal transduction, GO:0008150: biological_process, GO:0016020: membrane, GO:0016021: integral to membrane</t>
  </si>
  <si>
    <t>15375_at</t>
  </si>
  <si>
    <t>forkhead box A1</t>
  </si>
  <si>
    <t>GO:0000122: negative regulation of transcription from RNA polymerase II promoter, GO:0000122: negative regulation of transcription from RNA polymerase II promoter, GO:0000122: negative regulation of transcription from RNA polymerase II promoter, GO:0001077: RNA polymerase II core promoter proximal region sequence-specific DNA binding transcription factor activity involved in positive regulation of transcription, GO:0003677: DNA binding, GO:0003677: DNA binding, GO:0003690: double-stranded DNA binding, GO:0003690: double-stranded DNA binding, GO:0003700: sequence-specific DNA binding transcription factor activity, GO:0003700: sequence-specific DNA binding transcription factor activity, GO:0003705: RNA polymerase II distal enhancer sequence-specific DNA binding transcription factor activity, GO:0005634: nucleus, GO:0005634: nucleus, GO:0005667: transcription factor complex, GO:0006338: chromatin remodeling, GO:0006351: transcription, DNA-dependent, GO:0006355: regulation of transcription, DNA-dependent, GO:0007275: multicellular organismal development, GO:0007389: pattern specification process, GO:0008134: transcription factor binding, GO:0008134: transcription factor binding, GO:0008301: DNA binding, bending, GO:0008634: negative regulation of survival gene product expression, GO:0009790: embryo development, GO:0010468: regulation of gene expression, GO:0010719: negative regulation of epithelial to mesenchymal transition, GO:0016568: chromatin modification, GO:0019904: protein domain specific binding, GO:0019904: protein domain specific binding, GO:0030324: lung development, GO:0032355: response to estradiol stimulus, GO:0033148: positive regulation of intracellular estrogen receptor signaling pathway, GO:0035239: tube morphogenesis, GO:0042445: hormone metabolic process, GO:0042593: glucose homeostasis, GO:0043565: sequence-specific DNA binding, GO:0043565: sequence-specific DNA binding, GO:0044212: transcription regulatory region DNA binding, GO:0045666: positive regulation of neuron differentiation, GO:0045666: positive regulation of neuron differentiation, GO:0045931: positive regulation of mitotic cell cycle, GO:0045944: positive regulation of transcription from RNA polymerase II promoter, GO:0045944: positive regulation of transcription from RNA polymerase II promoter, GO:0045944: positive regulation of transcription from RNA polymerase II promoter, GO:0048665: neuron fate specification, GO:0051090: regulation of sequence-specific DNA binding transcription factor activity, GO:0051091: positive regulation of sequence-specific DNA binding transcription factor activity, GO:0060441: epithelial tube branching involved in lung morphogenesis, GO:0060487: lung epithelial cell differentiation, GO:0060528: secretory columnal luminar epithelial cell differentiation involved in prostate glandular acinus development, GO:0060738: epithelial-mesenchymal signaling involved in prostate gland development, GO:0060740: prostate gland epithelium morphogenesis, GO:0060741: prostate gland stromal morphogenesis, GO:0060743: epithelial cell maturation involved in prostate gland development</t>
  </si>
  <si>
    <t>GO:0001692: histamine metabolic process, GO:0001694: histamine biosynthetic process, GO:0003824: catalytic activity, GO:0004398: histidine decarboxylase activity, GO:0004398: histidine decarboxylase activity, GO:0004398: histidine decarboxylase activity, GO:0005829: cytosol, GO:0006520: cellular amino acid metabolic process, GO:0006547: histidine metabolic process, GO:0006548: histidine catabolic process, GO:0006548: histidine catabolic process, GO:0016597: amino acid binding, GO:0016829: lyase activity, GO:0016831: carboxy-lyase activity, GO:0019752: carboxylic acid metabolic process, GO:0030170: pyridoxal phosphate binding, GO:0030425: dendrite, GO:0042423: catecholamine biosynthetic process, GO:0043025: neuronal cell body</t>
  </si>
  <si>
    <t>00340: Histidine metabolism, 01100: Metabolic pathways</t>
  </si>
  <si>
    <t>72293_at</t>
  </si>
  <si>
    <t>naked cuticle 2 homolog (Drosophila)</t>
  </si>
  <si>
    <t>GO:0005509: calcium ion binding, GO:0005737: cytoplasm, GO:0005886: plasma membrane, GO:0006810: transport, GO:0006887: exocytosis, GO:0016020: membrane, GO:0016055: Wnt receptor signaling pathway, GO:0031410: cytoplasmic vesicle, GO:0031625: ubiquitin protein ligase binding</t>
  </si>
  <si>
    <t>16597_at</t>
  </si>
  <si>
    <t>Kruppel-like factor 12</t>
  </si>
  <si>
    <t>GO:0000122: negative regulation of transcription from RNA polymerase II promoter, GO:0003676: nucleic acid binding, GO:0003677: DNA binding, GO:0003677: DNA binding, GO:0003677: DNA binding, GO:0003700: sequence-specific DNA binding transcription factor activity, GO:0003700: sequence-specific DNA binding transcription factor activity, GO:0005515: protein binding, GO:0005622: intracellular, GO:0005634: nucleus, GO:0006351: transcription, DNA-dependent, GO:0006355: regulation of transcription, DNA-dependent, GO:0008270: zinc ion binding, GO:0045944: positive regulation of transcription from RNA polymerase II promoter, GO:0046872: metal ion binding</t>
  </si>
  <si>
    <t>18191_at</t>
  </si>
  <si>
    <t>neurexin III</t>
  </si>
  <si>
    <t>GO:0001525: angiogenesis, GO:0005246: calcium channel regulator activity, GO:0005623: cell, GO:0007155: cell adhesion, GO:0007268: synaptic transmission, GO:0007269: neurotransmitter secretion, GO:0007416: synapse assembly, GO:0016020: membrane, GO:0016021: integral to membrane, GO:0042734: presynaptic membrane, GO:0046872: metal ion binding</t>
  </si>
  <si>
    <t>14811_at</t>
  </si>
  <si>
    <t>glutamate receptor, ionotropic, NMDA2A (epsilon 1)</t>
  </si>
  <si>
    <t>15186_at</t>
  </si>
  <si>
    <t>histidine decarboxylase</t>
  </si>
  <si>
    <t>GO:0001508: regulation of action potential, GO:0001964: startle response, GO:0001964: startle response, GO:0001975: response to amphetamine, GO:0004872: receptor activity, GO:0004970: ionotropic glutamate receptor activity, GO:0004972: N-methyl-D-aspartate selective glutamate receptor activity, GO:0004972: N-methyl-D-aspartate selective glutamate receptor activity, GO:0004972: N-methyl-D-aspartate selective glutamate receptor activity, GO:0005215: transporter activity, GO:0005216: ion channel activity, GO:0005234: extracellular-glutamate-gated ion channel activity, GO:0005261: cation channel activity, GO:0005261: cation channel activity, GO:0005262: calcium channel activity, GO:0005262: calcium channel activity, GO:0005515: protein binding, GO:0005886: plasma membrane, GO:0006810: transport, GO:0006811: ion transport, GO:0006812: cation transport, GO:0006816: calcium ion transport, GO:0006816: calcium ion transport, GO:0007268: synaptic transmission, GO:0007268: synaptic transmission, GO:0007611: learning or memory, GO:0007612: learning, GO:0007613: memory, GO:0007613: memory, GO:0007626: locomotory behavior, GO:0008104: protein localization, GO:0008104: protein localization, GO:0008270: zinc ion binding, GO:0008542: visual learning, GO:0009611: response to wounding, GO:0009611: response to wounding, GO:0009986: cell surface, GO:0010942: positive regulation of cell death, GO:0014069: postsynaptic density, GO:0014069: postsynaptic density, GO:0016020: membrane, GO:0016021: integral to membrane, GO:0016595: glutamate binding, GO:0017146: N-methyl-D-aspartate selective glutamate receptor complex, GO:0017146: N-methyl-D-aspartate selective glutamate receptor complex, GO:0019233: sensory perception of pain, GO:0019901: protein kinase binding, GO:0022008: neurogenesis, GO:0022843: voltage-gated cation channel activity, GO:0030054: cell junction, GO:0030288: outer membrane-bounded periplasmic space, GO:0030431: sleep, GO:0032403: protein complex binding, GO:0033058: directional locomotion, GO:0034220: ion transmembrane transport, GO:0034220: ion transmembrane transport, GO:0034220: ion transmembrane transport, GO:0034765: regulation of ion transmembrane transport, GO:0035235: ionotropic glutamate receptor signaling pathway, GO:0035254: glutamate receptor binding, GO:0040011: locomotion, GO:0042165: neurotransmitter binding, GO:0042177: negative regulation of protein catabolic process, GO:0042391: regulation of membrane potential, GO:0042417: dopamine metabolic process, GO:0042428: serotonin metabolic process, GO:0042493: response to drug, GO:0042734: presynaptic membrane, GO:0042734: presynaptic membrane, GO:0043005: neuron projection, GO:0043065: positive regulation of apoptotic process, GO:0043195: terminal button, GO:0043197: dendritic spine, GO:0045202: synapse, GO:0045211: postsynaptic membrane, GO:0045471: response to ethanol, GO:0045471: response to ethanol, GO:0046872: metal ion binding, GO:0048167: regulation of synaptic plasticity, GO:0048169: regulation of long-term neuronal synaptic plasticity, GO:0048511: rhythmic process, GO:0050804: regulation of synaptic transmission, GO:0050839: cell adhesion molecule binding, GO:0051117: ATPase binding, GO:0051930: regulation of sensory perception of pain, GO:0060078: regulation of postsynaptic membrane potential, GO:0060079: regulation of excitatory postsynaptic membrane potential, GO:0060079: regulation of excitatory postsynaptic membrane potential, GO:0060079: regulation of excitatory postsynaptic membrane potential, GO:0071230: cellular response to amino acid stimulus, GO:0071294: cellular response to zinc ion, GO:0097110: scaffold protein binding, GO:2000463: positive regulation of excitatory postsynaptic membrane potential</t>
  </si>
  <si>
    <t>04020: Calcium signaling pathway, 04080: Neuroactive ligand-receptor interaction, 04720: Long-term potentiation, 05010: Alzheimer's disease, 05014: Amyotrophic lateral sclerosis (ALS), 05322: Systemic lupus erythematosus</t>
  </si>
  <si>
    <t>20689_at</t>
  </si>
  <si>
    <t>sal-like 3 (Drosophila)</t>
  </si>
  <si>
    <t>GO:0003676: nucleic acid binding, GO:0003677: DNA binding, GO:0005622: intracellular, GO:0005634: nucleus, GO:0006351: transcription, DNA-dependent, GO:0006355: regulation of transcription, DNA-dependent, GO:0008270: zinc ion binding, GO:0021891: olfactory bulb interneuron development, GO:0035136: forelimb morphogenesis, GO:0035137: hindlimb morphogenesis, GO:0045879: negative regulation of smoothened signaling pathway, GO:0046872: metal ion binding</t>
  </si>
  <si>
    <t>100502811_at</t>
  </si>
  <si>
    <t>predicted gene, 19389</t>
  </si>
  <si>
    <t>12672_at</t>
  </si>
  <si>
    <t>cholinergic receptor, muscarinic 4</t>
  </si>
  <si>
    <t>GO:0004871: signal transducer activity, GO:0004930: G-protein coupled receptor activity, GO:0005085: guanyl-nucleotide exchange factor activity, GO:0005886: plasma membrane, GO:0007165: signal transduction, GO:0007186: G-protein coupled receptor signaling pathway, GO:0007197: adenylate cyclase-inhibiting G-protein coupled acetylcholine receptor signaling pathway, GO:0014069: postsynaptic density, GO:0016020: membrane, GO:0016021: integral to membrane, GO:0016907: G-protein coupled acetylcholine receptor activity, GO:0030054: cell junction, GO:0032279: asymmetric synapse, GO:0042383: sarcolemma, GO:0043025: neuronal cell body, GO:0043679: axon terminus, GO:0044424: intracellular part, GO:0045202: synapse, GO:0045211: postsynaptic membrane, GO:0050790: regulation of catalytic activity</t>
  </si>
  <si>
    <t>04080: Neuroactive ligand-receptor interaction, 04810: Regulation of actin cytoskeleton</t>
  </si>
  <si>
    <t>269959_at</t>
  </si>
  <si>
    <t>ADAMTS-like 3</t>
  </si>
  <si>
    <t>16372_at</t>
  </si>
  <si>
    <t>Iroquois related homeobox 2 (Drosophila)</t>
  </si>
  <si>
    <t>67569_at</t>
  </si>
  <si>
    <t>mannosyl (alpha-1,3-)-glycoprotein beta-1,4-N-acetylglucosaminyltransferase, isozyme C (putative)</t>
  </si>
  <si>
    <t>GO:0003674: molecular_function, GO:0005575: cellular_component, GO:0005794: Golgi apparatus, GO:0005975: carbohydrate metabolic process, GO:0008150: biological_process, GO:0008454: alpha-1,3-mannosylglycoprotein 4-beta-N-acetylglucosaminyltransferase activity, GO:0016020: membrane, GO:0016021: integral to membrane, GO:0016740: transferase activity, GO:0016757: transferase activity, transferring glycosyl groups, GO:0016758: transferase activity, transferring hexosyl groups, GO:0046872: metal ion binding</t>
  </si>
  <si>
    <t>00510: N-Glycan biosynthesis, 01100: Metabolic pathways</t>
  </si>
  <si>
    <t>109294_at</t>
  </si>
  <si>
    <t>phosphatidylinositol-3,4,5-trisphosphate-dependent Rac exchange factor 2</t>
  </si>
  <si>
    <t>GO:0005085: guanyl-nucleotide exchange factor activity, GO:0005089: Rho guanyl-nucleotide exchange factor activity, GO:0005543: phospholipid binding, GO:0005575: cellular_component, GO:0005622: intracellular, GO:0007186: G-protein coupled receptor signaling pathway, GO:0030675: Rac GTPase activator activity, GO:0030676: Rac guanyl-nucleotide exchange factor activity, GO:0032855: positive regulation of Rac GTPase activity, GO:0035023: regulation of Rho protein signal transduction, GO:0035556: intracellular signal transduction, GO:0050790: regulation of catalytic activity</t>
  </si>
  <si>
    <t>26358_at</t>
  </si>
  <si>
    <t>aldehyde dehydrogenase family 1, subfamily A7</t>
  </si>
  <si>
    <t>GO:0004028: 3-chloroallyl aldehyde dehydrogenase activity, GO:0004029: aldehyde dehydrogenase (NAD) activity, GO:0005737: cytoplasm, GO:0008152: metabolic process, GO:0016491: oxidoreductase activity, GO:0016620: oxidoreductase activity, acting on the aldehyde or oxo group of donors, NAD or NADP as acceptor, GO:0018479: benzaldehyde dehydrogenase (NAD+) activity, GO:0042802: identical protein binding, GO:0051289: protein homotetramerization, GO:0055114: oxidation-reduction process</t>
  </si>
  <si>
    <t>00830: Retinol metabolism, 01100: Metabolic pathways</t>
  </si>
  <si>
    <t>241062_at</t>
  </si>
  <si>
    <t>post-GPI attachment to proteins 1</t>
  </si>
  <si>
    <t>GO:0004518: nuclease activity, GO:0005783: endoplasmic reticulum, GO:0006505: GPI anchor metabolic process, GO:0006506: GPI anchor biosynthetic process, GO:0006810: transport, GO:0006886: intracellular protein transport, GO:0007605: sensory perception of sound, GO:0009880: embryonic pattern specification, GO:0009880: embryonic pattern specification, GO:0009948: anterior/posterior axis specification, GO:0009948: anterior/posterior axis specification, GO:0015031: protein transport, GO:0015798: myo-inositol transport, GO:0016020: membrane, GO:0016021: integral to membrane, GO:0016787: hydrolase activity, GO:0016788: hydrolase activity, acting on ester bonds, GO:0021871: forebrain regionalization, GO:0021871: forebrain regionalization, GO:0031227: intrinsic to endoplasmic reticulum membrane, GO:0042578: phosphoric ester hydrolase activity, GO:0060322: head development, GO:0060322: head development, GO:0090305: nucleic acid phosphodiester bond hydrolysis</t>
  </si>
  <si>
    <t>00563: Glycosylphosphatidylinositol(GPI)-anchor biosynthesis, 01100: Metabolic pathways</t>
  </si>
  <si>
    <t>70122_at</t>
  </si>
  <si>
    <t>myeloid/lymphoid or mixed-lineage leukemia (trithorax homolog, Drosophila); translocated to, 3</t>
  </si>
  <si>
    <t>GO:0005515: protein binding, GO:0005634: nucleus, GO:0006351: transcription, DNA-dependent, GO:0006355: regulation of transcription, DNA-dependent, GO:0007379: segment specification, GO:0009952: anterior/posterior pattern specification, GO:0090090: negative regulation of canonical Wnt receptor signaling pathway, GO:2000096: positive regulation of Wnt receptor signaling pathway, planar cell polarity pathway</t>
  </si>
  <si>
    <t>73873_at</t>
  </si>
  <si>
    <t>family with sequence similarity 161, member A</t>
  </si>
  <si>
    <t>GO:0003674: molecular_function, GO:0005813: centrosome, GO:0008150: biological_process</t>
  </si>
  <si>
    <t>319582_at</t>
  </si>
  <si>
    <t>RIKEN cDNA 6430573F11 gene</t>
  </si>
  <si>
    <t>GO:0003674: molecular_function, GO:0005575: cellular_component, GO:0008150: biological_process, GO:0008152: metabolic process, GO:0008168: methyltransferase activity, GO:0016740: transferase activity, GO:0032259: methylation</t>
  </si>
  <si>
    <t>17954_at</t>
  </si>
  <si>
    <t>nucleosome assembly protein 1-like 2</t>
  </si>
  <si>
    <t>GO:0005634: nucleus, GO:0006334: nucleosome assembly</t>
  </si>
  <si>
    <t>14709_at</t>
  </si>
  <si>
    <t>guanine nucleotide binding protein (G protein), gamma 8</t>
  </si>
  <si>
    <t>GO:0004871: signal transducer activity, GO:0005834: heterotrimeric G-protein complex, GO:0005886: plasma membrane, GO:0007165: signal transduction, GO:0007186: G-protein coupled receptor signaling pathway, GO:0016020: membrane</t>
  </si>
  <si>
    <t>04062: Chemokine signaling pathway</t>
  </si>
  <si>
    <t>105387_at</t>
  </si>
  <si>
    <t>aldo-keto reductase family 1, member C14</t>
  </si>
  <si>
    <t>GO:0005575: cellular_component, GO:0016229: steroid dehydrogenase activity, GO:0047023: androsterone dehydrogenase activity</t>
  </si>
  <si>
    <t>100008567_at</t>
  </si>
  <si>
    <t>predicted gene 14964</t>
  </si>
  <si>
    <t>240753_at</t>
  </si>
  <si>
    <t>pleckstrin homology domain containing, family A member 6</t>
  </si>
  <si>
    <t>GO:0003674: molecular_function, GO:0005543: phospholipid binding, GO:0005575: cellular_component, GO:0008150: biological_process</t>
  </si>
  <si>
    <t>20200_at</t>
  </si>
  <si>
    <t>S100 calcium binding protein A6 (calcyclin)</t>
  </si>
  <si>
    <t>GO:0001726: ruffle, GO:0005509: calcium ion binding, GO:0005509: calcium ion binding, GO:0005515: protein binding, GO:0005523: tropomyosin binding, GO:0005634: nucleus, GO:0005635: nuclear envelope, GO:0005737: cytoplasm, GO:0005829: cytosol, GO:0005886: plasma membrane, GO:0008270: zinc ion binding, GO:0015075: ion transmembrane transporter activity, GO:0016020: membrane, GO:0031234: extrinsic to internal side of plasma membrane, GO:0034220: ion transmembrane transport, GO:0042803: protein homodimerization activity, GO:0044548: S100 protein binding, GO:0046872: metal ion binding, GO:0048306: calcium-dependent protein binding, GO:0048471: perinuclear region of cytoplasm</t>
  </si>
  <si>
    <t>545156_at</t>
  </si>
  <si>
    <t>kalirin, RhoGEF kinase</t>
  </si>
  <si>
    <t>GO:0000166: nucleotide binding, GO:0004672: protein kinase activity, GO:0004674: protein serine/threonine kinase activity, GO:0005085: guanyl-nucleotide exchange factor activity, GO:0005089: Rho guanyl-nucleotide exchange factor activity, GO:0005524: ATP binding, GO:0005543: phospholipid binding, GO:0005622: intracellular, GO:0005737: cytoplasm, GO:0005856: cytoskeleton, GO:0006468: protein phosphorylation, GO:0007399: nervous system development, GO:0007409: axonogenesis, GO:0016301: kinase activity, GO:0016310: phosphorylation, GO:0016740: transferase activity, GO:0016772: transferase activity, transferring phosphorus-containing groups, GO:0019899: enzyme binding, GO:0035023: regulation of Rho protein signal transduction, GO:0035556: intracellular signal transduction, GO:0043005: neuron projection, GO:0043025: neuronal cell body, GO:0046872: metal ion binding, GO:0048471: perinuclear region of cytoplasm, GO:0050773: regulation of dendrite development, GO:0050790: regulation of catalytic activity</t>
  </si>
  <si>
    <t>109700_at</t>
  </si>
  <si>
    <t>integrin alpha 1</t>
  </si>
  <si>
    <t>GO:0000187: activation of MAPK activity, GO:0001669: acrosomal vesicle, GO:0005178: integrin binding, GO:0005515: protein binding, GO:0005518: collagen binding, GO:0007155: cell adhesion, GO:0007229: integrin-mediated signaling pathway, GO:0008305: integrin complex, GO:0009897: external side of plasma membrane, GO:0009897: external side of plasma membrane, GO:0016020: membrane, GO:0016021: integral to membrane, GO:0030593: neutrophil chemotaxis, GO:0042311: vasodilation, GO:0043005: neuron projection, GO:0043204: perikaryon, GO:0043525: positive regulation of neuron apoptotic process, GO:0045121: membrane raft, GO:0045123: cellular extravasation, GO:0045178: basal part of cell, GO:0046982: protein heterodimerization activity, GO:0048812: neuron projection morphogenesis, GO:0060326: cell chemotaxis</t>
  </si>
  <si>
    <t>GO:0005509: calcium ion binding, GO:0005575: cellular_component, GO:0005576: extracellular region, GO:0007160: cell-matrix adhesion, GO:0008150: biological_process</t>
  </si>
  <si>
    <t>81907_at</t>
  </si>
  <si>
    <t>transmembrane protein 108</t>
  </si>
  <si>
    <t>64297_at</t>
  </si>
  <si>
    <t>G protein-coupled receptor, family C, group 5, member B</t>
  </si>
  <si>
    <t>GO:0003674: molecular_function, GO:0004871: signal transducer activity, GO:0004930: G-protein coupled receptor activity, GO:0005634: nucleus, GO:0005730: nucleolus, GO:0005794: Golgi apparatus, GO:0005886: plasma membrane, GO:0007165: signal transduction, GO:0007186: G-protein coupled receptor signaling pathway, GO:0008150: biological_process, GO:0016020: membrane, GO:0016021: integral to membrane, GO:0043231: intracellular membrane-bounded organelle</t>
  </si>
  <si>
    <t>12628_at</t>
  </si>
  <si>
    <t>complement component factor h</t>
  </si>
  <si>
    <t>GO:0001851: complement component C3b binding, GO:0005615: extracellular space, GO:0005634: nucleus, GO:0005737: cytoplasm, GO:0005886: plasma membrane, GO:0008201: heparin binding, GO:0030449: regulation of complement activation, GO:0030449: regulation of complement activation, GO:0043499: eukaryotic cell surface binding</t>
  </si>
  <si>
    <t>04610: Complement and coagulation cascades, 05150: Staphylococcus aureus infection</t>
  </si>
  <si>
    <t>327766_at</t>
  </si>
  <si>
    <t>transmembrane protein 26</t>
  </si>
  <si>
    <t>13865_at</t>
  </si>
  <si>
    <t>GO:0000122: negative regulation of transcription from RNA polymerase II promoter, GO:0000122: negative regulation of transcription from RNA polymerase II promoter, GO:0001764: neuron migration, GO:0003677: DNA binding, GO:0003700: sequence-specific DNA binding transcription factor activity, GO:0003707: steroid hormone receptor activity, GO:0004879: ligand-activated sequence-specific DNA binding RNA polymerase II transcription factor activity, GO:0005634: nucleus, GO:0005634: nucleus, GO:0006351: transcription, DNA-dependent, GO:0006355: regulation of transcription, DNA-dependent, GO:0006357: regulation of transcription from RNA polymerase II promoter, GO:0007399: nervous system development, GO:0008270: zinc ion binding, GO:0010977: negative regulation of neuron projection development, GO:0030900: forebrain development, GO:0043401: steroid hormone mediated signaling pathway, GO:0043565: sequence-specific DNA binding, GO:0043565: sequence-specific DNA binding, GO:0044323: retinoic acid-responsive element binding, GO:0045944: positive regulation of transcription from RNA polymerase II promoter, GO:0046872: metal ion binding</t>
  </si>
  <si>
    <t>77125_at</t>
  </si>
  <si>
    <t>interleukin 33</t>
  </si>
  <si>
    <t>04510: Focal adhesion, 04512: ECM-receptor interaction, 04640: Hematopoietic cell lineage, 04810: Regulation of actin cytoskeleton, 05410: Hypertrophic cardiomyopathy (HCM), 05412: Arrhythmogenic right ventricular cardiomyopathy (ARVC), 05414: Dilated cardiomyopathy</t>
  </si>
  <si>
    <t>233332_at</t>
  </si>
  <si>
    <t>a disintegrin-like and metallopeptidase (reprolysin type) with thrombospondin type 1 motif, 17</t>
  </si>
  <si>
    <t>GO:0003674: molecular_function, GO:0005575: cellular_component, GO:0005576: extracellular region, GO:0006508: proteolysis, GO:0008150: biological_process, GO:0008233: peptidase activity, GO:0008237: metallopeptidase activity, GO:0016787: hydrolase activity, GO:0046872: metal ion binding</t>
  </si>
  <si>
    <t>208777_at</t>
  </si>
  <si>
    <t>sushi, nidogen and EGF-like domains 1</t>
  </si>
  <si>
    <t>GO:0002686: negative regulation of leukocyte migration, GO:0002826: negative regulation of T-helper 1 type immune response, GO:0002830: positive regulation of type 2 immune response, GO:0005125: cytokine activity, GO:0005125: cytokine activity, GO:0005125: cytokine activity, GO:0005576: extracellular region, GO:0005615: extracellular space, GO:0005634: nucleus, GO:0010628: positive regulation of gene expression, GO:0032689: negative regulation of interferon-gamma production, GO:0032736: positive regulation of interleukin-13 production, GO:0032753: positive regulation of interleukin-4 production, GO:0032754: positive regulation of interleukin-5 production, GO:0032755: positive regulation of interleukin-6 production, GO:0043032: positive regulation of macrophage activation, GO:0043032: positive regulation of macrophage activation, GO:0045944: positive regulation of transcription from RNA polymerase II promoter, GO:0050729: positive regulation of inflammatory response, GO:0051024: positive regulation of immunoglobulin secretion, GO:0051025: negative regulation of immunoglobulin secretion, GO:0090197: positive regulation of chemokine secretion, GO:0090197: positive regulation of chemokine secretion</t>
  </si>
  <si>
    <t>04623: Cytosolic DNA-sensing pathway</t>
  </si>
  <si>
    <t>19272_at</t>
  </si>
  <si>
    <t>protein tyrosine phosphatase, receptor type, K</t>
  </si>
  <si>
    <t>nuclear receptor subfamily 2, group F, member 1</t>
  </si>
  <si>
    <t>GO:0001750: photoreceptor outer segment, GO:0004721: phosphoprotein phosphatase activity, GO:0004725: protein tyrosine phosphatase activity, GO:0004725: protein tyrosine phosphatase activity, GO:0005911: cell-cell junction, GO:0006470: protein dephosphorylation, GO:0006470: protein dephosphorylation, GO:0007155: cell adhesion, GO:0007165: signal transduction, GO:0007179: transforming growth factor beta receptor signaling pathway, GO:0008013: beta-catenin binding, GO:0008285: negative regulation of cell proliferation, GO:0009986: cell surface, GO:0010839: negative regulation of keratinocyte proliferation, GO:0016020: membrane, GO:0016021: integral to membrane, GO:0016311: dephosphorylation, GO:0016477: cell migration, GO:0016787: hydrolase activity, GO:0016791: phosphatase activity, GO:0019901: protein kinase binding, GO:0030336: negative regulation of cell migration, GO:0030424: axon, GO:0030425: dendrite, GO:0031175: neuron projection development, GO:0031256: leading edge membrane, GO:0034394: protein localization to cell surface, GO:0034614: cellular response to reactive oxygen species, GO:0034644: cellular response to UV, GO:0035335: peptidyl-tyrosine dephosphorylation, GO:0035335: peptidyl-tyrosine dephosphorylation, GO:0043025: neuronal cell body, GO:0045295: gamma-catenin binding, GO:0045786: negative regulation of cell cycle, GO:0045892: negative regulation of transcription, DNA-dependent, GO:0048041: focal adhesion assembly</t>
  </si>
  <si>
    <t>77446_at</t>
  </si>
  <si>
    <t>HEG homolog 1 (zebrafish)</t>
  </si>
  <si>
    <t>GO:0001570: vasculogenesis, GO:0001701: in utero embryonic development, GO:0001701: in utero embryonic development, GO:0001885: endothelial cell development, GO:0001886: endothelial cell morphogenesis, GO:0001944: vasculature development, GO:0001945: lymph vessel development, GO:0003017: lymph circulation, GO:0003209: cardiac atrium morphogenesis, GO:0003281: ventricular septum development, GO:0005509: calcium ion binding, GO:0005515: protein binding, GO:0005886: plasma membrane, GO:0005911: cell-cell junction, GO:0007275: multicellular organismal development, GO:0007507: heart development, GO:0007507: heart development, GO:0009791: post-embryonic development, GO:0009897: external side of plasma membrane, GO:0009986: cell surface, GO:0016020: membrane, GO:0016021: integral to membrane, GO:0030054: cell junction, GO:0030324: lung development, GO:0035264: multicellular organism growth, GO:0045216: cell-cell junction organization, GO:0048845: venous blood vessel morphogenesis, GO:0050878: regulation of body fluid levels, GO:0060039: pericardium development, GO:0060039: pericardium development</t>
  </si>
  <si>
    <t>52150_at</t>
  </si>
  <si>
    <t>potassium inwardly-rectifying channel, subfamily K, member 6</t>
  </si>
  <si>
    <t>GO:0005216: ion channel activity, GO:0005267: potassium channel activity, GO:0005575: cellular_component, GO:0006810: transport, GO:0006811: ion transport, GO:0016020: membrane, GO:0016021: integral to membrane, GO:0034220: ion transmembrane transport</t>
  </si>
  <si>
    <t>27206_at</t>
  </si>
  <si>
    <t>Nik related kinase</t>
  </si>
  <si>
    <t>GO:0005229: intracellular calcium activated chloride channel activity, GO:0005887: integral to plasma membrane, GO:0006821: chloride transport</t>
  </si>
  <si>
    <t>GO:0000166: nucleotide binding, GO:0004672: protein kinase activity, GO:0004672: protein kinase activity, GO:0004674: protein serine/threonine kinase activity, GO:0005083: small GTPase regulator activity, GO:0005524: ATP binding, GO:0005575: cellular_component, GO:0006468: protein phosphorylation, GO:0007256: activation of JNKK activity, GO:0007567: parturition, GO:0008285: negative regulation of cell proliferation, GO:0016301: kinase activity, GO:0016310: phosphorylation, GO:0016740: transferase activity, GO:0016772: transferase activity, transferring phosphorus-containing groups, GO:0050790: regulation of catalytic activity, GO:0060721: regulation of spongiotrophoblast cell proliferation</t>
  </si>
  <si>
    <t>68458_at</t>
  </si>
  <si>
    <t>protein phosphatase 1, regulatory (inhibitor) subunit 14A</t>
  </si>
  <si>
    <t>GO:0004864: protein phosphatase inhibitor activity, GO:0005737: cytoplasm, GO:0042325: regulation of phosphorylation</t>
  </si>
  <si>
    <t>20378_at</t>
  </si>
  <si>
    <t>frizzled-related protein</t>
  </si>
  <si>
    <t>RIKEN cDNA 1700029G01 gene</t>
  </si>
  <si>
    <t>225518_at</t>
  </si>
  <si>
    <t>PR domain containing 6</t>
  </si>
  <si>
    <t>GO:0001944: vasculature development, GO:0005515: protein binding, GO:0005576: extracellular region, GO:0005615: extracellular space, GO:0005615: extracellular space, GO:0005737: cytoplasm, GO:0006357: regulation of transcription from RNA polymerase II promoter, GO:0007165: signal transduction, GO:0007275: multicellular organismal development, GO:0007420: brain development, GO:0008285: negative regulation of cell proliferation, GO:0008406: gonad development, GO:0010721: negative regulation of cell development, GO:0016055: Wnt receptor signaling pathway, GO:0017147: Wnt-protein binding, GO:0030154: cell differentiation, GO:0030165: PDZ domain binding, GO:0030178: negative regulation of Wnt receptor signaling pathway, GO:0030178: negative regulation of Wnt receptor signaling pathway, GO:0030178: negative regulation of Wnt receptor signaling pathway, GO:0030308: negative regulation of cell growth, GO:0042472: inner ear morphogenesis, GO:0042472: inner ear morphogenesis, GO:0042813: Wnt-activated receptor activity, GO:0043065: positive regulation of apoptotic process, GO:0045600: positive regulation of fat cell differentiation, GO:0060029: convergent extension involved in organogenesis, GO:0060056: mammary gland involution, GO:0061037: negative regulation of cartilage development, GO:0070367: negative regulation of hepatocyte differentiation, GO:0090090: negative regulation of canonical Wnt receptor signaling pathway, GO:0090090: negative regulation of canonical Wnt receptor signaling pathway, GO:0090103: cochlea morphogenesis</t>
  </si>
  <si>
    <t>320873_at</t>
  </si>
  <si>
    <t>cadherin 10</t>
  </si>
  <si>
    <t>GO:0005509: calcium ion binding, GO:0005886: plasma membrane, GO:0007155: cell adhesion, GO:0007156: homophilic cell adhesion, GO:0016020: membrane, GO:0016021: integral to membrane</t>
  </si>
  <si>
    <t>320692_at</t>
  </si>
  <si>
    <t>RIKEN cDNA 9430037G07 gene</t>
  </si>
  <si>
    <t>12722_at</t>
  </si>
  <si>
    <t>chloride channel calcium activated 1</t>
  </si>
  <si>
    <t>GO:0003676: nucleic acid binding, GO:0005622: intracellular, GO:0005634: nucleus, GO:0006351: transcription, DNA-dependent, GO:0006355: regulation of transcription, DNA-dependent, GO:0008168: methyltransferase activity, GO:0008270: zinc ion binding, GO:0016568: chromatin modification, GO:0016740: transferase activity, GO:0018022: peptidyl-lysine methylation, GO:0018024: histone-lysine N-methyltransferase activity, GO:0022008: neurogenesis, GO:0032259: methylation, GO:0034968: histone lysine methylation, GO:0042803: protein homodimerization activity, GO:0045892: negative regulation of transcription, DNA-dependent, GO:0046872: metal ion binding, GO:0051151: negative regulation of smooth muscle cell differentiation</t>
  </si>
  <si>
    <t>13649_at</t>
  </si>
  <si>
    <t>epidermal growth factor receptor</t>
  </si>
  <si>
    <t>04740: Olfactory transduction, 04972: Pancreatic secretion</t>
  </si>
  <si>
    <t>16449_at</t>
  </si>
  <si>
    <t>jagged 1</t>
  </si>
  <si>
    <t>GO:0002011: morphogenesis of an epithelial sheet, GO:0005112: Notch binding, GO:0005509: calcium ion binding, GO:0005515: protein binding, GO:0005886: plasma membrane, GO:0005886: plasma membrane, GO:0007154: cell communication, GO:0007219: Notch signaling pathway, GO:0007219: Notch signaling pathway, GO:0007275: multicellular organismal development, GO:0009887: organ morphogenesis, GO:0016020: membrane, GO:0016021: integral to membrane, GO:0032495: response to muramyl dipeptide, GO:0042127: regulation of cell proliferation, GO:0042491: auditory receptor cell differentiation, GO:0042491: auditory receptor cell differentiation, GO:0045177: apical part of cell, GO:0045596: negative regulation of cell differentiation, GO:0045596: negative regulation of cell differentiation, GO:0045599: negative regulation of fat cell differentiation, GO:0045639: positive regulation of myeloid cell differentiation, GO:0045665: negative regulation of neuron differentiation, GO:0045747: positive regulation of Notch signaling pathway, GO:0048839: inner ear development, GO:2000737: negative regulation of stem cell differentiation</t>
  </si>
  <si>
    <t>66938_at</t>
  </si>
  <si>
    <t>GO:0000166: nucleotide binding, GO:0000186: activation of MAPKK activity, GO:0000902: cell morphogenesis, GO:0001892: embryonic placenta development, GO:0001942: hair follicle development, GO:0001948: glycoprotein binding, GO:0004672: protein kinase activity, GO:0004713: protein tyrosine kinase activity, GO:0004714: transmembrane receptor protein tyrosine kinase activity, GO:0004716: receptor signaling protein tyrosine kinase activity, GO:0004871: signal transducer activity, GO:0004888: transmembrane signaling receptor activity, GO:0005006: epidermal growth factor-activated receptor activity, GO:0005006: epidermal growth factor-activated receptor activity, GO:0005102: receptor binding, GO:0005178: integrin binding, GO:0005515: protein binding, GO:0005524: ATP binding, GO:0005622: intracellular, GO:0005634: nucleus, GO:0005634: nucleus, GO:0005737: cytoplasm, GO:0005768: endosome, GO:0005783: endoplasmic reticulum, GO:0005794: Golgi apparatus, GO:0005886: plasma membrane, GO:0005886: plasma membrane, GO:0006412: translation, GO:0006468: protein phosphorylation, GO:0007165: signal transduction, GO:0007165: signal transduction, GO:0007166: cell surface receptor signaling pathway, GO:0007169: transmembrane receptor protein tyrosine kinase signaling pathway, GO:0007173: epidermal growth factor receptor signaling pathway, GO:0007173: epidermal growth factor receptor signaling pathway, GO:0007173: epidermal growth factor receptor signaling pathway, GO:0007173: epidermal growth factor receptor signaling pathway, GO:0007243: intracellular protein kinase cascade, GO:0007275: multicellular organismal development, GO:0007435: salivary gland morphogenesis, GO:0008283: cell proliferation, GO:0008284: positive regulation of cell proliferation, GO:0008284: positive regulation of cell proliferation, GO:0008284: positive regulation of cell proliferation, GO:0008544: epidermis development, GO:0009986: cell surface, GO:0016020: membrane, GO:0016021: integral to membrane, GO:0016301: kinase activity, GO:0016310: phosphorylation, GO:0016323: basolateral plasma membrane, GO:0016323: basolateral plasma membrane, GO:0016324: apical plasma membrane, GO:0016337: cell-cell adhesion, GO:0016740: transferase activity, GO:0016772: transferase activity, transferring phosphorus-containing groups, GO:0019899: enzyme binding, GO:0019901: protein kinase binding, GO:0019903: protein phosphatase binding, GO:0021795: cerebral cortex cell migration, GO:0030139: endocytic vesicle, GO:0030139: endocytic vesicle, GO:0030335: positive regulation of cell migration, GO:0031659: positive regulation of cyclin-dependent protein kinase activity involved in G1/S, GO:0035413: positive regulation of catenin import into nucleus, GO:0042127: regulation of cell proliferation, GO:0042177: negative regulation of protein catabolic process, GO:0042327: positive regulation of phosphorylation, GO:0042698: ovulation cycle, GO:0042802: identical protein binding, GO:0043066: negative regulation of apoptotic process, GO:0043406: positive regulation of MAP kinase activity, GO:0045121: membrane raft, GO:0045429: positive regulation of nitric oxide biosynthetic process, GO:0045739: positive regulation of DNA repair, GO:0045740: positive regulation of DNA replication, GO:0045930: negative regulation of mitotic cell cycle, GO:0046777: protein autophosphorylation, GO:0046777: protein autophosphorylation, GO:0046982: protein heterodimerization activity, GO:0048143: astrocyte activation, GO:0048146: positive regulation of fibroblast proliferation, GO:0048408: epidermal growth factor binding, GO:0048471: perinuclear region of cytoplasm, GO:0048546: digestive tract morphogenesis, GO:0048661: positive regulation of smooth muscle cell proliferation, GO:0048812: neuron projection morphogenesis, GO:0050679: positive regulation of epithelial cell proliferation, GO:0050679: positive regulation of epithelial cell proliferation, GO:0050730: regulation of peptidyl-tyrosine phosphorylation, GO:0050730: regulation of peptidyl-tyrosine phosphorylation, GO:0050999: regulation of nitric-oxide synthase activity, GO:0051015: actin filament binding, GO:0051592: response to calcium ion, GO:0051897: positive regulation of protein kinase B signaling cascade, GO:0051968: positive regulation of synaptic transmission, glutamatergic, GO:0060571: morphogenesis of an epithelial fold, GO:0070141: response to UV-A</t>
  </si>
  <si>
    <t>04010: MAPK signaling pathway, 04012: ErbB signaling pathway, 04020: Calcium signaling pathway, 04060: Cytokine-cytokine receptor interaction, 04144: Endocytosis, 04320: Dorso-ventral axis formation, 04510: Focal adhesion, 04520: Adherens junction, 04540: Gap junction, 04810: Regulation of actin cytoskeleton, 04912: GnRH signaling pathway, 05160: Hepatitis C, 05200: Pathways in cancer, 05212: Pancreatic cancer, 05213: Endometrial cancer, 05214: Glioma, 05215: Prostate cancer, 05218: Melanoma, 05219: Bladder cancer, 05223: Non-small cell lung cancer</t>
  </si>
  <si>
    <t>22402_at</t>
  </si>
  <si>
    <t>WNT1 inducible signaling pathway protein 1</t>
  </si>
  <si>
    <t>GO:0001558: regulation of cell growth, GO:0005520: insulin-like growth factor binding, GO:0005576: extracellular region, GO:0007155: cell adhesion, GO:0016055: Wnt receptor signaling pathway</t>
  </si>
  <si>
    <t>230379_at</t>
  </si>
  <si>
    <t>alkaline ceramidase 2</t>
  </si>
  <si>
    <t>GO:0001953: negative regulation of cell-matrix adhesion, GO:0005794: Golgi apparatus, GO:0006629: lipid metabolic process, GO:0006672: ceramide metabolic process, GO:0006919: activation of cysteine-type endopeptidase activity involved in apoptotic process, GO:0008284: positive regulation of cell proliferation, GO:0010942: positive regulation of cell death, GO:0016020: membrane, GO:0016021: integral to membrane, GO:0016787: hydrolase activity, GO:0016811: hydrolase activity, acting on carbon-nitrogen (but not peptide) bonds, in linear amides, GO:0017040: ceramidase activity, GO:0030173: integral to Golgi membrane, GO:0032526: response to retinoic acid, GO:0033629: negative regulation of cell adhesion mediated by integrin, GO:0046512: sphingosine biosynthetic process, GO:0071633: dihydroceramidase activity, GO:0090285: negative regulation of protein glycosylation in Golgi</t>
  </si>
  <si>
    <t>00600: Sphingolipid metabolism, 01100: Metabolic pathways</t>
  </si>
  <si>
    <t>26875_at</t>
  </si>
  <si>
    <t>piccolo (presynaptic cytomatrix protein)</t>
  </si>
  <si>
    <t>GO:0005509: calcium ion binding, GO:0005515: protein binding, GO:0005522: profilin binding, GO:0005544: calcium-dependent phospholipid binding, GO:0005622: intracellular, GO:0005623: cell, GO:0007010: cytoskeleton organization, GO:0016080: synaptic vesicle targeting, GO:0017157: regulation of exocytosis, GO:0019933: cAMP-mediated signaling, GO:0030054: cell junction, GO:0030073: insulin secretion, GO:0045202: synapse, GO:0045202: synapse, GO:0046872: metal ion binding</t>
  </si>
  <si>
    <t>12121_at</t>
  </si>
  <si>
    <t>bicaudal D homolog 1 (Drosophila)</t>
  </si>
  <si>
    <t>GO:0005623: cell, GO:0005794: Golgi apparatus, GO:0005802: trans-Golgi network, GO:0005829: cytosol, GO:0006810: transport, GO:0008093: cytoskeletal adaptor activity, GO:0016020: membrane, GO:0016032: viral reproduction, GO:0017137: Rab GTPase binding, GO:0031410: cytoplasmic vesicle, GO:0031871: proteinase activated receptor binding, GO:0033365: protein localization to organelle, GO:0034063: stress granule assembly, GO:0034452: dynactin binding, GO:0045502: dynein binding, GO:0048260: positive regulation of receptor-mediated endocytosis, GO:0048471: perinuclear region of cytoplasm, GO:0072385: minus-end-directed organelle transport along microtubule, GO:0072393: microtubule anchoring at microtubule organizing center, GO:0072517: host cell viral assembly compartment, GO:1900275: negative regulation of phospholipase C activity, GO:1900276: regulation of proteinase activated receptor activity, GO:1900737: negative regulation of phospholipase C-activating G-protein coupled receptor signaling pathway</t>
  </si>
  <si>
    <t>229687_at</t>
  </si>
  <si>
    <t>chitinase 3-like 7</t>
  </si>
  <si>
    <t>12565_at</t>
  </si>
  <si>
    <t>cadherin 9</t>
  </si>
  <si>
    <t>170719_at</t>
  </si>
  <si>
    <t>oxidation resistance 1</t>
  </si>
  <si>
    <t>GO:0003674: molecular_function, GO:0005634: nucleus, GO:0005730: nucleolus, GO:0005730: nucleolus, GO:0005739: mitochondrion, GO:0016998: cell wall macromolecule catabolic process</t>
  </si>
  <si>
    <t>58207_at</t>
  </si>
  <si>
    <t>solute carrier family 43, member 3</t>
  </si>
  <si>
    <t>GO:0016020: membrane, GO:0016021: integral to membrane, GO:0055085: transmembrane transport</t>
  </si>
  <si>
    <t>69847_at</t>
  </si>
  <si>
    <t>WNK lysine deficient protein kinase 4</t>
  </si>
  <si>
    <t>GO:0000166: nucleotide binding, GO:0004672: protein kinase activity, GO:0004674: protein serine/threonine kinase activity, GO:0005524: ATP binding, GO:0005737: cytoplasm, GO:0005923: tight junction, GO:0006468: protein phosphorylation, GO:0006811: ion transport, GO:0006821: chloride transport, GO:0008104: protein localization, GO:0016301: kinase activity, GO:0016310: phosphorylation, GO:0016740: transferase activity, GO:0016772: transferase activity, transferring phosphorus-containing groups, GO:0030054: cell junction, GO:0030644: cellular chloride ion homeostasis, GO:0050794: regulation of cellular process, GO:0090188: negative regulation of pancreatic juice secretion</t>
  </si>
  <si>
    <t>14160_at</t>
  </si>
  <si>
    <t>leucine rich repeat containing G protein coupled receptor 5</t>
  </si>
  <si>
    <t>GO:0004871: signal transducer activity, GO:0004930: G-protein coupled receptor activity, GO:0005886: plasma membrane, GO:0007165: signal transduction, GO:0007186: G-protein coupled receptor signaling pathway, GO:0016020: membrane, GO:0016021: integral to membrane, GO:0016500: protein-hormone receptor activity, GO:0048839: inner ear development</t>
  </si>
  <si>
    <t>407831_at</t>
  </si>
  <si>
    <t>transmembrane protein 204</t>
  </si>
  <si>
    <t>GO:0001945: lymph vessel development, GO:0001945: lymph vessel development, GO:0005515: protein binding, GO:0005886: plasma membrane, GO:0016020: membrane, GO:0016021: integral to membrane, GO:0030054: cell junction, GO:0030947: regulation of vascular endothelial growth factor receptor signaling pathway, GO:0051145: smooth muscle cell differentiation</t>
  </si>
  <si>
    <t>70617_at</t>
  </si>
  <si>
    <t>RIKEN cDNA 5730508B09 gene</t>
  </si>
  <si>
    <t>12288_at</t>
  </si>
  <si>
    <t>calcium channel, voltage-dependent, L type, alpha 1C subunit</t>
  </si>
  <si>
    <t>GO:0002095: caveolar macromolecular signaling complex, GO:0005216: ion channel activity, GO:0005244: voltage-gated ion channel activity, GO:0005245: voltage-gated calcium channel activity, GO:0005245: voltage-gated calcium channel activity, GO:0005245: voltage-gated calcium channel activity, GO:0005245: voltage-gated calcium channel activity, GO:0005262: calcium channel activity, GO:0005515: protein binding, GO:0005516: calmodulin binding, GO:0005623: cell, GO:0005634: nucleus, GO:0005737: cytoplasm, GO:0005886: plasma membrane, GO:0005886: plasma membrane, GO:0005891: voltage-gated calcium channel complex, GO:0005891: voltage-gated calcium channel complex, GO:0006810: transport, GO:0006811: ion transport, GO:0006816: calcium ion transport, GO:0006816: calcium ion transport, GO:0006816: calcium ion transport, GO:0006874: cellular calcium ion homeostasis, GO:0006939: smooth muscle contraction, GO:0007204: elevation of cytosolic calcium ion concentration, GO:0007268: synaptic transmission, GO:0007628: adult walking behavior, GO:0008217: regulation of blood pressure, GO:0008542: visual learning, GO:0014069: postsynaptic density, GO:0016020: membrane, GO:0016021: integral to membrane, GO:0017156: calcium ion-dependent exocytosis, GO:0019229: regulation of vasoconstriction, GO:0019904: protein domain specific binding, GO:0030018: Z disc, GO:0030018: Z disc, GO:0030073: insulin secretion, GO:0030252: growth hormone secretion, GO:0030315: T-tubule, GO:0030315: T-tubule, GO:0030425: dendrite, GO:0034765: regulation of ion transmembrane transport, GO:0042383: sarcolemma, GO:0042593: glucose homeostasis, GO:0042734: presynaptic membrane, GO:0043025: neuronal cell body, GO:0043025: neuronal cell body, GO:0043198: dendritic shaft, GO:0046620: regulation of organ growth, GO:0051721: protein phosphatase 2A binding, GO:0051925: regulation of calcium ion transport via voltage-gated calcium channel activity, GO:0051925: regulation of calcium ion transport via voltage-gated calcium channel activity, GO:0055085: transmembrane transport, GO:0060083: smooth muscle contraction involved in micturition, GO:0070588: calcium ion transmembrane transport, GO:0070588: calcium ion transmembrane transport, GO:0070588: calcium ion transmembrane transport</t>
  </si>
  <si>
    <t>04010: MAPK signaling pathway, 04020: Calcium signaling pathway, 04260: Cardiac muscle contraction, 04270: Vascular smooth muscle contraction, 04720: Long-term potentiation, 04912: GnRH signaling pathway, 04930: Type II diabetes mellitus, 05010: Alzheimer's disease, 05410: Hypertrophic cardiomyopathy (HCM), 05412: Arrhythmogenic right ventricular cardiomyopathy (ARVC), 05414: Dilated cardiomyopathy</t>
  </si>
  <si>
    <t>269823_at</t>
  </si>
  <si>
    <t>paraoxonase 3</t>
  </si>
  <si>
    <t>GO:0004064: arylesterase activity, GO:0005576: extracellular region, GO:0005615: extracellular space, GO:0008152: metabolic process, GO:0010124: phenylacetate catabolic process, GO:0016787: hydrolase activity, GO:0018733: 3,4-dihydrocoumarin hydrolase activity, GO:0019439: aromatic compound catabolic process, GO:0042803: protein homodimerization activity, GO:0046226: coumarin catabolic process, GO:0046395: carboxylic acid catabolic process, GO:0046872: metal ion binding, GO:0047856: dihydrocoumarin hydrolase activity</t>
  </si>
  <si>
    <t>01100: Metabolic pathways</t>
  </si>
  <si>
    <t>235533_at</t>
  </si>
  <si>
    <t>glycerol kinase 5 (putative)</t>
  </si>
  <si>
    <t>GO:0000166: nucleotide binding, GO:0004370: glycerol kinase activity, GO:0005524: ATP binding, GO:0005575: cellular_component, GO:0005975: carbohydrate metabolic process, GO:0006071: glycerol metabolic process, GO:0016301: kinase activity, GO:0016310: phosphorylation, GO:0016740: transferase activity, GO:0016773: phosphotransferase activity, alcohol group as acceptor</t>
  </si>
  <si>
    <t>723822_at</t>
  </si>
  <si>
    <t>microRNA 218-1</t>
  </si>
  <si>
    <t>GO:0010594: regulation of endothelial cell migration, GO:0010629: negative regulation of gene expression, GO:0010629: negative regulation of gene expression, GO:0035385: Roundabout signaling pathway, GO:0061298: retina vasculature development in camera-type eye</t>
  </si>
  <si>
    <t>14260_at</t>
  </si>
  <si>
    <t>formin 1</t>
  </si>
  <si>
    <t>GO:0003677: DNA binding, GO:0003779: actin binding, GO:0005515: protein binding, GO:0005634: nucleus, GO:0005737: cytoplasm, GO:0005856: cytoskeleton, GO:0005886: plasma membrane, GO:0005912: adherens junction, GO:0010467: gene expression, GO:0015629: actin cytoskeleton, GO:0016020: membrane, GO:0016043: cellular component organization, GO:0017124: SH3 domain binding, GO:0030036: actin cytoskeleton organization, GO:0030054: cell junction, GO:0030838: positive regulation of actin filament polymerization, GO:0035136: forelimb morphogenesis, GO:0035137: hindlimb morphogenesis, GO:0048705: skeletal system morphogenesis, GO:0051127: positive regulation of actin nucleation</t>
  </si>
  <si>
    <t>13346_at</t>
  </si>
  <si>
    <t>desmin</t>
  </si>
  <si>
    <t>GO:0005198: structural molecule activity, GO:0005200: structural constituent of cytoskeleton, GO:0005515: protein binding, GO:0005622: intracellular, GO:0005737: cytoplasm, GO:0005856: cytoskeleton, GO:0005882: intermediate filament, GO:0005916: fascia adherens, GO:0007517: muscle organ development, GO:0008092: cytoskeletal protein binding, GO:0030018: Z disc, GO:0030018: Z disc, GO:0031594: neuromuscular junction, GO:0042383: sarcolemma, GO:0043292: contractile fiber, GO:0045098: type III intermediate filament</t>
  </si>
  <si>
    <t>05410: Hypertrophic cardiomyopathy (HCM), 05412: Arrhythmogenic right ventricular cardiomyopathy (ARVC), 05414: Dilated cardiomyopathy</t>
  </si>
  <si>
    <t>68725_at</t>
  </si>
  <si>
    <t>RIKEN cDNA 1110032F04 gene</t>
  </si>
  <si>
    <t>381485_at</t>
  </si>
  <si>
    <t>tripartite motif-containing 55</t>
  </si>
  <si>
    <t>GO:0042802: identical protein binding, GO:0042802: identical protein binding, GO:0046872: metal ion binding</t>
  </si>
  <si>
    <t>327978_at</t>
  </si>
  <si>
    <t>schlafen 5</t>
  </si>
  <si>
    <t>GO:0000166: nucleotide binding, GO:0005524: ATP binding, GO:0005634: nucleus, GO:0030154: cell differentiation</t>
  </si>
  <si>
    <t>217012_at</t>
  </si>
  <si>
    <t>unc-45 homolog B (C. elegans)</t>
  </si>
  <si>
    <t>GO:0005575: cellular_component, GO:0005737: cytoplasm, GO:0007275: multicellular organismal development, GO:0007517: muscle organ development, GO:0030154: cell differentiation, GO:0051879: Hsp90 protein binding, GO:0061077: chaperone-mediated protein folding</t>
  </si>
  <si>
    <t>229949_at</t>
  </si>
  <si>
    <t>adenylate kinase 5</t>
  </si>
  <si>
    <t>GO:0000166: nucleotide binding, GO:0004017: adenylate kinase activity, GO:0005524: ATP binding, GO:0005737: cytoplasm, GO:0005813: centrosome, GO:0006139: nucleobase-containing compound metabolic process, GO:0007165: signal transduction, GO:0008603: cAMP-dependent protein kinase regulator activity, GO:0016301: kinase activity, GO:0016310: phosphorylation, GO:0016740: transferase activity, GO:0019205: nucleobase-containing compound kinase activity, GO:0045859: regulation of protein kinase activity, GO:0046034: ATP metabolic process, GO:0046939: nucleotide phosphorylation</t>
  </si>
  <si>
    <t>00230: Purine metabolism, 01100: Metabolic pathways</t>
  </si>
  <si>
    <t>14612_at</t>
  </si>
  <si>
    <t>gap junction protein, alpha 4</t>
  </si>
  <si>
    <t>GO:0001568: blood vessel development, GO:0005886: plasma membrane, GO:0005921: gap junction, GO:0005922: connexon complex, GO:0006816: calcium ion transport, GO:0007154: cell communication, GO:0007267: cell-cell signaling, GO:0016020: membrane, GO:0016021: integral to membrane, GO:0030054: cell junction</t>
  </si>
  <si>
    <t>12827_at</t>
  </si>
  <si>
    <t>collagen, type IV, alpha 2</t>
  </si>
  <si>
    <t>GO:0001525: angiogenesis, GO:0005201: extracellular matrix structural constituent, GO:0005576: extracellular region, GO:0005578: proteinaceous extracellular matrix, GO:0005581: collagen, GO:0005587: collagen type IV, GO:0005604: basement membrane, GO:0006351: transcription, DNA-dependent, GO:0016525: negative regulation of angiogenesis</t>
  </si>
  <si>
    <t>04510: Focal adhesion, 04512: ECM-receptor interaction, 04974: Protein digestion and absorption, 05146: Amoebiasis, 05200: Pathways in cancer, 05222: Small cell lung cancer</t>
  </si>
  <si>
    <t>17921_at</t>
  </si>
  <si>
    <t>myosin VIIA</t>
  </si>
  <si>
    <t>GO:0000146: microfilament motor activity, GO:0000166: nucleotide binding, GO:0001750: photoreceptor outer segment, GO:0001845: phagolysosome assembly, GO:0001917: photoreceptor inner segment, GO:0003774: motor activity, GO:0003779: actin binding, GO:0005515: protein binding, GO:0005516: calmodulin binding, GO:0005524: ATP binding, GO:0005622: intracellular, GO:0005623: cell, GO:0005737: cytoplasm, GO:0005737: cytoplasm, GO:0005765: lysosomal membrane, GO:0005829: cytosol, GO:0005856: cytoskeleton, GO:0005902: microvillus, GO:0006200: ATP catabolic process, GO:0006810: transport, GO:0006886: intracellular protein transport, GO:0006909: phagocytosis, GO:0007040: lysosome organization, GO:0007600: sensory perception, GO:0007601: visual perception, GO:0007601: visual perception, GO:0007605: sensory perception of sound, GO:0007605: sensory perception of sound, GO:0008152: metabolic process, GO:0016324: apical plasma membrane, GO:0016459: myosin complex, GO:0019904: protein domain specific binding, GO:0030030: cell projection organization, GO:0030048: actin filament-based movement, GO:0030898: actin-dependent ATPase activity, GO:0031477: myosin VII complex, GO:0032391: photoreceptor connecting cilium, GO:0032403: protein complex binding, GO:0032420: stereocilium, GO:0042470: melanosome, GO:0042472: inner ear morphogenesis, GO:0042490: mechanoreceptor differentiation, GO:0042491: auditory receptor cell differentiation, GO:0042803: protein homodimerization activity, GO:0043531: ADP binding, GO:0045202: synapse, GO:0045202: synapse, GO:0048563: post-embryonic organ morphogenesis, GO:0048839: inner ear development, GO:0050953: sensory perception of light stimulus, GO:0050953: sensory perception of light stimulus, GO:0050957: equilibrioception, GO:0051015: actin filament binding, GO:0051875: pigment granule localization, GO:0051904: pigment granule transport, GO:0060088: auditory receptor cell stereocilium organization, GO:0060113: inner ear receptor cell differentiation</t>
  </si>
  <si>
    <t>20454_at</t>
  </si>
  <si>
    <t>GO:0005794: Golgi apparatus, GO:0006486: protein glycosylation, GO:0008152: metabolic process, GO:0008373: sialyltransferase activity, GO:0016020: membrane, GO:0016021: integral to membrane, GO:0016740: transferase activity, GO:0016757: transferase activity, transferring glycosyl groups, GO:0030173: integral to Golgi membrane, GO:0047291: lactosylceramide alpha-2,3-sialyltransferase activity</t>
  </si>
  <si>
    <t>00604: Glycosphingolipid biosynthesis - ganglio series, 01100: Metabolic pathways</t>
  </si>
  <si>
    <t>14013_at</t>
  </si>
  <si>
    <t>MDS1 and EVI1 complex locus</t>
  </si>
  <si>
    <t>GO:0001701: in utero embryonic development, GO:0001780: neutrophil homeostasis, GO:0003676: nucleic acid binding, GO:0003677: DNA binding, GO:0003700: sequence-specific DNA binding transcription factor activity, GO:0003700: sequence-specific DNA binding transcription factor activity, GO:0005515: protein binding, GO:0005622: intracellular, GO:0005634: nucleus, GO:0005634: nucleus, GO:0006351: transcription, DNA-dependent, GO:0006355: regulation of transcription, DNA-dependent, GO:0006915: apoptotic process, GO:0006954: inflammatory response, GO:0007275: multicellular organismal development, GO:0008270: zinc ion binding, GO:0009605: response to external stimulus, GO:0009617: response to bacterium, GO:0009791: post-embryonic development, GO:0016607: nuclear speck, GO:0030154: cell differentiation, GO:0030900: forebrain development, GO:0035115: embryonic forelimb morphogenesis, GO:0035116: embryonic hindlimb morphogenesis, GO:0042127: regulation of cell proliferation, GO:0042803: protein homodimerization activity, GO:0043069: negative regulation of programmed cell death, GO:0045892: negative regulation of transcription, DNA-dependent, GO:0045892: negative regulation of transcription, DNA-dependent, GO:0045893: positive regulation of transcription, DNA-dependent, GO:0045944: positive regulation of transcription from RNA polymerase II promoter, GO:0046329: negative regulation of JNK cascade, GO:0046872: metal ion binding, GO:0051726: regulation of cell cycle, GO:0060039: pericardium development, GO:0071425: hemopoietic stem cell proliferation, GO:0072001: renal system development</t>
  </si>
  <si>
    <t>04010: MAPK signaling pathway, 05200: Pathways in cancer, 05220: Chronic myeloid leukemia</t>
  </si>
  <si>
    <t>432530_at</t>
  </si>
  <si>
    <t>adenylate cyclase 1</t>
  </si>
  <si>
    <t>ST3 beta-galactoside alpha-2,3-sialyltransferase 5</t>
  </si>
  <si>
    <t>GO:0000166: nucleotide binding, GO:0004016: adenylate cyclase activity, GO:0004016: adenylate cyclase activity, GO:0005516: calmodulin binding, GO:0005524: ATP binding, GO:0005622: intracellular, GO:0005634: nucleus, GO:0005886: plasma membrane, GO:0005886: plasma membrane, GO:0006171: cAMP biosynthetic process, GO:0006171: cAMP biosynthetic process, GO:0007190: activation of adenylate cyclase activity, GO:0007409: axonogenesis, GO:0007616: long-term memory, GO:0008294: calcium- and calmodulin-responsive adenylate cyclase activity, GO:0009190: cyclic nucleotide biosynthetic process, GO:0016020: membrane, GO:0016021: integral to membrane, GO:0016829: lyase activity, GO:0016849: phosphorus-oxygen lyase activity, GO:0035556: intracellular signal transduction, GO:0046872: metal ion binding</t>
  </si>
  <si>
    <t>00230: Purine metabolism, 04020: Calcium signaling pathway, 04062: Chemokine signaling pathway, 04114: Oocyte meiosis, 04270: Vascular smooth muscle contraction, 04540: Gap junction, 04720: Long-term potentiation, 04912: GnRH signaling pathway, 04914: Progesterone-mediated oocyte maturation, 04916: Melanogenesis, 04970: Salivary secretion, 04971: Gastric acid secretion, 04972: Pancreatic secretion, 04976: Bile secretion, 05142: Chagas disease (American trypanosomiasis), 05146: Amoebiasis, 05414: Dilated cardiomyopathy</t>
  </si>
  <si>
    <t>381157_at</t>
  </si>
  <si>
    <t>growth regulation by estrogen in breast cancer-like</t>
  </si>
  <si>
    <t>214642_at</t>
  </si>
  <si>
    <t>RIKEN cDNA A430107O13 gene</t>
  </si>
  <si>
    <t>GO:0003674: molecular_function, GO:0005783: endoplasmic reticulum, GO:0008150: biological_process</t>
  </si>
  <si>
    <t>237253_at</t>
  </si>
  <si>
    <t>low density lipoprotein receptor-related protein 11</t>
  </si>
  <si>
    <t>GO:0003674: molecular_function, GO:0005575: cellular_component, GO:0006897: endocytosis, GO:0008150: biological_process, GO:0016020: membrane, GO:0016021: integral to membrane</t>
  </si>
  <si>
    <t>12494_at</t>
  </si>
  <si>
    <t>CD38 antigen</t>
  </si>
  <si>
    <t>GO:0000166: nucleotide binding, GO:0001666: response to hypoxia, GO:0003953: NAD+ nucleosidase activity, GO:0005634: nucleus, GO:0005886: plasma membrane, GO:0007204: elevation of cytosolic calcium ion concentration, GO:0008152: metabolic process, GO:0009725: response to hormone stimulus, GO:0009986: cell surface, GO:0016020: membrane, GO:0016021: integral to membrane, GO:0016787: hydrolase activity, GO:0016798: hydrolase activity, acting on glycosyl bonds, GO:0016849: phosphorus-oxygen lyase activity, GO:0030307: positive regulation of cell growth, GO:0030890: positive regulation of B cell proliferation, GO:0030890: positive regulation of B cell proliferation, GO:0032024: positive regulation of insulin secretion, GO:0033194: response to hydroperoxide, GO:0042493: response to drug, GO:0043066: negative regulation of apoptotic process, GO:0045779: negative regulation of bone resorption, GO:0045892: negative regulation of transcription, DNA-dependent, GO:0045893: positive regulation of transcription, DNA-dependent, GO:0045907: positive regulation of vasoconstriction, GO:0050853: B cell receptor signaling pathway, GO:0060292: long term synaptic depression</t>
  </si>
  <si>
    <t>00760: Nicotinate and nicotinamide metabolism, 01100: Metabolic pathways, 04020: Calcium signaling pathway, 04640: Hematopoietic cell lineage, 04970: Salivary secretion, 04972: Pancreatic secretion</t>
  </si>
  <si>
    <t>218624_at</t>
  </si>
  <si>
    <t>interleukin 31 receptor A</t>
  </si>
  <si>
    <t>GO:0004896: cytokine receptor activity, GO:0005886: plasma membrane, GO:0008284: positive regulation of cell proliferation, GO:0016020: membrane, GO:0016021: integral to membrane</t>
  </si>
  <si>
    <t>21743_at</t>
  </si>
  <si>
    <t>indolethylamine N-methyltransferase</t>
  </si>
  <si>
    <t>GO:0004790: thioether S-methyltransferase activity, GO:0005737: cytoplasm, GO:0005829: cytosol, GO:0005829: cytosol, GO:0008168: methyltransferase activity, GO:0009308: amine metabolic process, GO:0016740: transferase activity, GO:0030748: amine N-methyltransferase activity, GO:0032259: methylation, GO:0032259: methylation</t>
  </si>
  <si>
    <t>GO:0002467: germinal center formation, GO:0003674: molecular_function, GO:0005575: cellular_component, GO:0050853: B cell receptor signaling pathway</t>
  </si>
  <si>
    <t>320736_at</t>
  </si>
  <si>
    <t>RIKEN cDNA E130203B14 gene</t>
  </si>
  <si>
    <t>77889_at</t>
  </si>
  <si>
    <t>limb-bud and heart</t>
  </si>
  <si>
    <t>GO:0005634: nucleus, GO:0005730: nucleolus, GO:0005737: cytoplasm, GO:0006351: transcription, DNA-dependent, GO:0006355: regulation of transcription, DNA-dependent, GO:0007275: multicellular organismal development, GO:0043231: intracellular membrane-bounded organelle, GO:0045893: positive regulation of transcription, DNA-dependent</t>
  </si>
  <si>
    <t>110532_at</t>
  </si>
  <si>
    <t>adenosine deaminase, RNA-specific, B1</t>
  </si>
  <si>
    <t>GO:0003723: RNA binding, GO:0003723: RNA binding, GO:0003725: double-stranded RNA binding, GO:0003725: double-stranded RNA binding, GO:0003726: double-stranded RNA adenosine deaminase activity, GO:0003726: double-stranded RNA adenosine deaminase activity, GO:0004000: adenosine deaminase activity, GO:0005622: intracellular, GO:0005634: nucleus, GO:0005634: nucleus, GO:0005654: nucleoplasm, GO:0005730: nucleolus, GO:0006396: RNA processing, GO:0006396: RNA processing, GO:0006397: mRNA processing, GO:0016556: mRNA modification, GO:0016787: hydrolase activity, GO:0046872: metal ion binding</t>
  </si>
  <si>
    <t>11421_at</t>
  </si>
  <si>
    <t>angiotensin I converting enzyme (peptidyl-dipeptidase A) 1</t>
  </si>
  <si>
    <t>GO:0001822: kidney development, GO:0001822: kidney development, GO:0002446: neutrophil mediated immunity, GO:0003084: positive regulation of systemic arterial blood pressure, GO:0003779: actin binding, GO:0004175: endopeptidase activity, GO:0004180: carboxypeptidase activity, GO:0005576: extracellular region, GO:0005615: extracellular space, GO:0005768: endosome, GO:0005886: plasma membrane, GO:0006508: proteolysis, GO:0006518: peptide metabolic process, GO:0007283: spermatogenesis, GO:0008144: drug binding, GO:0008217: regulation of blood pressure, GO:0008217: regulation of blood pressure, GO:0008233: peptidase activity, GO:0008237: metallopeptidase activity, GO:0008237: metallopeptidase activity, GO:0008241: peptidyl-dipeptidase activity, GO:0008241: peptidyl-dipeptidase activity, GO:0008270: zinc ion binding, GO:0009897: external side of plasma membrane, GO:0014910: regulation of smooth muscle cell migration, GO:0016020: membrane, GO:0016021: integral to membrane, GO:0016787: hydrolase activity, GO:0019233: sensory perception of pain, GO:0031404: chloride ion binding, GO:0031711: bradykinin receptor binding, GO:0032496: response to lipopolysaccharide, GO:0042277: peptide binding, GO:0042310: vasoconstriction, GO:0042447: hormone catabolic process, GO:0042447: hormone catabolic process, GO:0042755: eating behavior, GO:0043065: positive regulation of apoptotic process, GO:0043171: peptide catabolic process, GO:0046872: metal ion binding, GO:0050482: arachidonic acid secretion, GO:0050729: positive regulation of inflammatory response, GO:0050769: positive regulation of neurogenesis, GO:0060047: heart contraction</t>
  </si>
  <si>
    <t>04614: Renin-angiotensin system, 05142: Chagas disease (American trypanosomiasis), 05410: Hypertrophic cardiomyopathy (HCM)</t>
  </si>
  <si>
    <t>320268_at</t>
  </si>
  <si>
    <t>RIKEN cDNA B930095G15 gene</t>
  </si>
  <si>
    <t>140709_at</t>
  </si>
  <si>
    <t>EMI domain containing 2</t>
  </si>
  <si>
    <t>00380: Tryptophan metabolism, 00450: Selenocompound metabolism</t>
  </si>
  <si>
    <t>239743_at</t>
  </si>
  <si>
    <t>kelch-like 6 (Drosophila)</t>
  </si>
  <si>
    <t>GO:0003674: molecular_function, GO:0005737: cytoplasm, GO:0051497: negative regulation of stress fiber assembly</t>
  </si>
  <si>
    <t>20272_at</t>
  </si>
  <si>
    <t>sodium channel, voltage-gated, type VII, alpha</t>
  </si>
  <si>
    <t>GO:0005216: ion channel activity, GO:0005244: voltage-gated ion channel activity, GO:0005272: sodium channel activity, GO:0006810: transport, GO:0006811: ion transport, GO:0006814: sodium ion transport, GO:0016021: integral to membrane, GO:0034765: regulation of ion transmembrane transport</t>
  </si>
  <si>
    <t>320560_at</t>
  </si>
  <si>
    <t>DENN/MADD domain containing 5B</t>
  </si>
  <si>
    <t>21682_at</t>
  </si>
  <si>
    <t>tec protein tyrosine kinase</t>
  </si>
  <si>
    <t>GO:0000166: nucleotide binding, GO:0004672: protein kinase activity, GO:0004713: protein tyrosine kinase activity, GO:0004715: non-membrane spanning protein tyrosine kinase activity, GO:0005515: protein binding, GO:0005524: ATP binding, GO:0005543: phospholipid binding, GO:0005622: intracellular, GO:0005737: cytoplasm, GO:0005856: cytoskeleton, GO:0005886: plasma membrane, GO:0006468: protein phosphorylation, GO:0007229: integrin-mediated signaling pathway, GO:0008289: lipid binding, GO:0010543: regulation of platelet activation, GO:0016020: membrane, GO:0016301: kinase activity, GO:0016310: phosphorylation, GO:0016740: transferase activity, GO:0016772: transferase activity, transferring phosphorus-containing groups, GO:0035556: intracellular signal transduction, GO:0046872: metal ion binding, GO:0050853: B cell receptor signaling pathway</t>
  </si>
  <si>
    <t>04380: Osteoclast differentiation, 04660: T cell receptor signaling pathway</t>
  </si>
  <si>
    <t>99712_at</t>
  </si>
  <si>
    <t>choline/ethanolaminephosphotransferase 1</t>
  </si>
  <si>
    <t>GO:0004142: diacylglycerol cholinephosphotransferase activity, GO:0004307: ethanolaminephosphotransferase activity, GO:0005634: nucleus, GO:0005783: endoplasmic reticulum, GO:0005789: endoplasmic reticulum membrane, GO:0006656: phosphatidylcholine biosynthetic process, GO:0006657: CDP-choline pathway, GO:0008654: phospholipid biosynthetic process, GO:0016020: membrane, GO:0016021: integral to membrane, GO:0016740: transferase activity, GO:0016780: phosphotransferase activity, for other substituted phosphate groups, GO:0046872: metal ion binding</t>
  </si>
  <si>
    <t>00564: Glycerophospholipid metabolism, 00565: Ether lipid metabolism, 01100: Metabolic pathways</t>
  </si>
  <si>
    <t>29856_at</t>
  </si>
  <si>
    <t>smoothelin</t>
  </si>
  <si>
    <t>GO:0005737: cytoplasm, GO:0005856: cytoskeleton</t>
  </si>
  <si>
    <t>217310_at</t>
  </si>
  <si>
    <t>RIKEN cDNA C630004H02 gene</t>
  </si>
  <si>
    <t>GO:0003674: molecular_function, GO:0005737: cytoplasm, GO:0005794: Golgi apparatus, GO:0005886: plasma membrane, GO:0008150: biological_process, GO:0016020: membrane</t>
  </si>
  <si>
    <t>50781_at</t>
  </si>
  <si>
    <t>dickkopf homolog 3 (Xenopus laevis)</t>
  </si>
  <si>
    <t>GO:0005576: extracellular region, GO:0005615: extracellular space, GO:0007275: multicellular organismal development, GO:0016055: Wnt receptor signaling pathway, GO:0030178: negative regulation of Wnt receptor signaling pathway, GO:0032348: negative regulation of aldosterone biosynthetic process, GO:0045892: negative regulation of transcription, DNA-dependent, GO:0090090: negative regulation of canonical Wnt receptor signaling pathway, GO:2000065: negative regulation of cortisol biosynthetic process</t>
  </si>
  <si>
    <t>21418_at</t>
  </si>
  <si>
    <t>transcription factor AP-2, alpha</t>
  </si>
  <si>
    <t>GO:0005515: protein binding, GO:0005576: extracellular region, GO:0005578: proteinaceous extracellular matrix, GO:0005581: collagen, GO:0005783: endoplasmic reticulum, GO:0005794: Golgi apparatus, GO:0010811: positive regulation of cell-substrate adhesion</t>
  </si>
  <si>
    <t>381884_at</t>
  </si>
  <si>
    <t>solute carrier family 6, member 16</t>
  </si>
  <si>
    <t>320365_at</t>
  </si>
  <si>
    <t>furry homolog (Drosophila)</t>
  </si>
  <si>
    <t>242553_at</t>
  </si>
  <si>
    <t>KN motif and ankyrin repeat domains 4</t>
  </si>
  <si>
    <t>GO:0000122: negative regulation of transcription from RNA polymerase II promoter, GO:0000122: negative regulation of transcription from RNA polymerase II promoter, GO:0000976: transcription regulatory region sequence-specific DNA binding, GO:0000978: RNA polymerase II core promoter proximal region sequence-specific DNA binding, GO:0000979: RNA polymerase II core promoter sequence-specific DNA binding, GO:0000979: RNA polymerase II core promoter sequence-specific DNA binding, GO:0000980: RNA polymerase II distal enhancer sequence-specific DNA binding, GO:0000981: sequence-specific DNA binding RNA polymerase II transcription factor activity, GO:0000982: RNA polymerase II core promoter proximal region sequence-specific DNA binding transcription factor activity, GO:0000987: core promoter proximal region sequence-specific DNA binding, GO:0000987: core promoter proximal region sequence-specific DNA binding, GO:0001077: RNA polymerase II core promoter proximal region sequence-specific DNA binding transcription factor activity involved in positive regulation of transcription, GO:0001077: RNA polymerase II core promoter proximal region sequence-specific DNA binding transcription factor activity involved in positive regulation of transcription, GO:0001078: RNA polymerase II core promoter proximal region sequence-specific DNA binding transcription factor activity involved in negative regulation of transcription, GO:0001078: RNA polymerase II core promoter proximal region sequence-specific DNA binding transcription factor activity involved in negative regulation of transcription, GO:0001105: RNA polymerase II transcription coactivator activity, GO:0001106: RNA polymerase II transcription corepressor activity, GO:0001822: kidney development, GO:0001843: neural tube closure, GO:0002089: lens morphogenesis in camera-type eye, GO:0003151: outflow tract morphogenesis, GO:0003334: keratinocyte development, GO:0003404: optic vesicle morphogenesis, GO:0003409: optic cup structural organization, GO:0003677: DNA binding, GO:0003682: chromatin binding, GO:0003700: sequence-specific DNA binding transcription factor activity, GO:0003713: transcription coactivator activity, GO:0003713: transcription coactivator activity, GO:0005515: protein binding, GO:0005634: nucleus, GO:0005634: nucleus, GO:0005667: transcription factor complex, GO:0005737: cytoplasm, GO:0005794: Golgi apparatus, GO:0005813: centrosome, GO:0005829: cytosol, GO:0006351: transcription, DNA-dependent, GO:0006355: regulation of transcription, DNA-dependent, GO:0006357: regulation of transcription from RNA polymerase II promoter, GO:0006366: transcription from RNA polymerase II promoter, GO:0007605: sensory perception of sound, GO:0008134: transcription factor binding, GO:0008285: negative regulation of cell proliferation, GO:0008285: negative regulation of cell proliferation, GO:0009880: embryonic pattern specification, GO:0010172: embryonic body morphogenesis, GO:0010628: positive regulation of gene expression, GO:0010944: negative regulation of transcription by competitive promoter binding, GO:0014032: neural crest cell development, GO:0021506: anterior neuropore closure, GO:0021559: trigeminal nerve development, GO:0021623: oculomotor nerve formation, GO:0021884: forebrain neuron development, GO:0030335: positive regulation of cell migration, GO:0030501: positive regulation of bone mineralization, GO:0032496: response to lipopolysaccharide, GO:0035115: embryonic forelimb morphogenesis, GO:0035136: forelimb morphogenesis, GO:0042059: negative regulation of epidermal growth factor receptor signaling pathway, GO:0042472: inner ear morphogenesis, GO:0043066: negative regulation of apoptotic process, GO:0043066: negative regulation of apoptotic process, GO:0043231: intracellular membrane-bounded organelle, GO:0043525: positive regulation of neuron apoptotic process, GO:0043565: sequence-specific DNA binding, GO:0043588: skin development, GO:0044212: transcription regulatory region DNA binding, GO:0045595: regulation of cell differentiation, GO:0045664: regulation of neuron differentiation, GO:0045892: negative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GO:0046983: protein dimerization activity, GO:0048485: sympathetic nervous system development, GO:0048596: embryonic camera-type eye morphogenesis, GO:0048701: embryonic cranial skeleton morphogenesis, GO:0048705: skeletal system morphogenesis, GO:0048730: epidermis morphogenesis, GO:0060021: palate development, GO:0060235: lens induction in camera-type eye, GO:0060325: face morphogenesis, GO:0060349: bone morphogenesis, GO:0061029: eyelid development in camera-type eye, GO:0061303: cornea development in camera-type eye, GO:0070172: positive regulation of tooth mineralization, GO:0071281: cellular response to iron ion, GO:0071711: basement membrane organization, GO:2000378: negative regulation of reactive oxygen species metabolic process</t>
  </si>
  <si>
    <t>GO:0001894: tissue homeostasis, GO:0002687: positive regulation of leukocyte migration, GO:0005178: integrin binding, GO:0005634: nucleus, GO:0005886: plasma membrane, GO:0005925: focal adhesion, GO:0006971: hypotonic response, GO:0007155: cell adhesion, GO:0007229: integrin-mediated signaling pathway, GO:0008305: integrin complex, GO:0009279: cell outer membrane, GO:0009897: external side of plasma membrane, GO:0009986: cell surface, GO:0010634: positive regulation of epithelial cell migration, GO:0010694: positive regulation of alkaline phosphatase activity, GO:0014911: positive regulation of smooth muscle cell migration, GO:0016020: membrane, GO:0016021: integral to membrane, GO:0030424: axon, GO:0031346: positive regulation of cell projection organization, GO:0032403: protein complex binding, GO:0032967: positive regulation of collagen biosynthetic process, GO:0033343: positive regulation of collagen binding, GO:0042995: cell projection, GO:0043236: laminin binding, GO:0043388: positive regulation of DNA binding, GO:0043589: skin morphogenesis, GO:0043679: axon terminus, GO:0045178: basal part of cell, GO:0045184: establishment of protein localization, GO:0045727: positive regulation of translation, GO:0045785: positive regulation of cell adhesion, GO:0045987: positive regulation of smooth muscle contraction, GO:0046982: protein heterodimerization activity, GO:0048471: perinuclear region of cytoplasm, GO:0048661: positive regulation of smooth muscle cell proliferation, GO:0050729: positive regulation of inflammatory response, GO:0050927: positive regulation of positive chemotaxis, GO:0050966: detection of mechanical stimulus involved in sensory perception of pain, GO:0051971: positive regulation of transmission of nerve impulse, GO:0060100: positive regulation of phagocytosis, engulfment</t>
  </si>
  <si>
    <t>GO:0001516: prostaglandin biosynthetic process, GO:0001516: prostaglandin biosynthetic process, GO:0001750: photoreceptor outer segment, GO:0004601: peroxidase activity, GO:0004666: prostaglandin-endoperoxide synthase activity, GO:0005635: nuclear envelope, GO:0005737: cytoplasm, GO:0005737: cytoplasm, GO:0005783: endoplasmic reticulum, GO:0005794: Golgi apparatus, GO:0005886: plasma membrane, GO:0006633: fatty acid biosynthetic process, GO:0006693: prostaglandin metabolic process, GO:0006979: response to oxidative stress, GO:0007612: learning, GO:0007613: memory, GO:0008217: regulation of blood pressure, GO:0008289: lipid binding, GO:0008610: lipid biosynthetic process, GO:0010700: negative regulation of norepinephrine secretion, GO:0016020: membrane, GO:0016491: oxidoreductase activity, GO:0016702: oxidoreductase activity, acting on single donors with incorporation of molecular oxygen, incorporation of two atoms of oxygen, GO:0019233: sensory perception of pain, GO:0019371: cyclooxygenase pathway, GO:0020037: heme binding, GO:0030216: keratinocyte differentiation, GO:0032811: negative regulation of epinephrine secretion, GO:0035633: maintenance of blood-brain barrier, GO:0042127: regulation of cell proliferation, GO:0043231: intracellular membrane-bounded organelle, GO:0044444: cytoplasmic part, GO:0044444: cytoplasmic part, GO:0045907: positive regulation of vasoconstriction, GO:0045987: positive regulation of smooth muscle contraction, GO:0046872: metal ion binding, GO:0055114: oxidation-reduction process</t>
  </si>
  <si>
    <t>00590: Arachidonic acid metabolism, 01100: Metabolic pathways</t>
  </si>
  <si>
    <t>13717_at</t>
  </si>
  <si>
    <t>16398_at</t>
  </si>
  <si>
    <t>integrin alpha 2</t>
  </si>
  <si>
    <t>GO:0004497: monooxygenase activity, GO:0005506: iron ion binding, GO:0005783: endoplasmic reticulum, GO:0009055: electron carrier activity, GO:0016020: membrane, GO:0016491: oxidoreductase activity, GO:0016705: oxidoreductase activity, acting on paired donors, with incorporation or reduction of molecular oxygen, GO:0016712: oxidoreductase activity, acting on paired donors, with incorporation or reduction of molecular oxygen, reduced flavin or flavoprotein as one donor, and incorporation of one atom of oxygen, GO:0020037: heme binding, GO:0043231: intracellular membrane-bounded organelle, GO:0046872: metal ion binding, GO:0055114: oxidation-reduction process, GO:0070330: aromatase activity</t>
  </si>
  <si>
    <t>00980: Metabolism of xenobiotics by cytochrome P450</t>
  </si>
  <si>
    <t>71660_at</t>
  </si>
  <si>
    <t>retinoic acid receptor responder (tazarotene induced) 2</t>
  </si>
  <si>
    <t>GO:0001523: retinoid metabolic process, GO:0005102: receptor binding, GO:0005515: protein binding, GO:0005576: extracellular region, GO:0006952: defense response, GO:0010759: positive regulation of macrophage chemotaxis, GO:0031012: extracellular matrix, GO:0048566: embryonic digestive tract development, GO:0050873: brown fat cell differentiation</t>
  </si>
  <si>
    <t>13591_at</t>
  </si>
  <si>
    <t>early B cell factor 1</t>
  </si>
  <si>
    <t>04145: Phagosome, 04510: Focal adhesion, 04512: ECM-receptor interaction, 04640: Hematopoietic cell lineage, 04810: Regulation of actin cytoskeleton, 05200: Pathways in cancer, 05222: Small cell lung cancer, 05410: Hypertrophic cardiomyopathy (HCM), 05412: Arrhythmogenic right ventricular cardiomyopathy (ARVC), 05414: Dilated cardiomyopathy</t>
  </si>
  <si>
    <t>19224_at</t>
  </si>
  <si>
    <t>prostaglandin-endoperoxide synthase 1</t>
  </si>
  <si>
    <t>GO:0001975: response to amphetamine, GO:0005275: amine transmembrane transporter activity, GO:0005515: protein binding, GO:0005737: cytoplasm, GO:0006810: transport, GO:0006836: neurotransmitter transport, GO:0006837: serotonin transport, GO:0007568: aging, GO:0007626: locomotory behavior, GO:0008021: synaptic vesicle, GO:0008144: drug binding, GO:0009636: response to toxin, GO:0009791: post-embryonic development, GO:0015222: serotonin transmembrane transporter activity, GO:0015238: drug transmembrane transporter activity, GO:0015842: synaptic vesicle amine transport, GO:0015844: monoamine transport, GO:0015893: drug transport, GO:0016020: membrane, GO:0016021: integral to membrane, GO:0016265: death, GO:0019899: enzyme binding, GO:0030073: insulin secretion, GO:0030672: synaptic vesicle membrane, GO:0031045: dense core granule, GO:0031072: heat shock protein binding, GO:0031410: cytoplasmic vesicle, GO:0035690: cellular response to drug, GO:0042593: glucose homeostasis, GO:0042995: cell projection, GO:0043005: neuron projection, GO:0043025: neuronal cell body, GO:0043195: terminal button, GO:0043679: axon terminus, GO:0044297: cell body, GO:0051589: negative regulation of neurotransmitter transport, GO:0055085: transmembrane transport</t>
  </si>
  <si>
    <t>216859_at</t>
  </si>
  <si>
    <t>ArfGAP with coiled-coil, ankyrin repeat and PH domains 1</t>
  </si>
  <si>
    <t>elastin</t>
  </si>
  <si>
    <t>GO:0001974: blood vessel remodeling, GO:0005201: extracellular matrix structural constituent, GO:0005515: protein binding, GO:0005576: extracellular region, GO:0005578: proteinaceous extracellular matrix, GO:0005739: mitochondrion, GO:0007519: skeletal muscle tissue development, GO:0030023: extracellular matrix constituent conferring elasticity, GO:0030198: extracellular matrix organization, GO:0030833: regulation of actin filament polymerization, GO:0043149: stress fiber assembly, GO:0050840: extracellular matrix binding, GO:0071953: elastic fiber</t>
  </si>
  <si>
    <t>74134_at</t>
  </si>
  <si>
    <t>cytochrome P450, family 2, subfamily s, polypeptide 1</t>
  </si>
  <si>
    <t>GO:0005622: intracellular, GO:0006977: DNA damage response, signal transduction by p53 class mediator resulting in cell cycle arrest, GO:0008285: negative regulation of cell proliferation, GO:0008285: negative regulation of cell proliferation, GO:0018214: protein carboxylation, GO:0031016: pancreas development, GO:0031571: mitotic cell cycle G1/S transition DNA damage checkpoint, GO:0032869: cellular response to insulin stimulus, GO:0042593: glucose homeostasis, GO:0044242: cellular lipid catabolic process, GO:0044342: type B pancreatic cell proliferation, GO:0046676: negative regulation of insulin secretion</t>
  </si>
  <si>
    <t>109978_at</t>
  </si>
  <si>
    <t>ADP-ribosyltransferase 4</t>
  </si>
  <si>
    <t>GO:0003674: molecular_function, GO:0003956: NAD(P)+-protein-arginine ADP-ribosyltransferase activity, GO:0005575: cellular_component, GO:0005886: plasma membrane, GO:0006471: protein ADP-ribosylation, GO:0008150: biological_process, GO:0016020: membrane, GO:0016021: integral to membrane, GO:0016740: transferase activity, GO:0016757: transferase activity, transferring glycosyl groups, GO:0031225: anchored to membrane</t>
  </si>
  <si>
    <t>21952_at</t>
  </si>
  <si>
    <t>troponin I, skeletal, slow 1</t>
  </si>
  <si>
    <t>GO:0003677: DNA binding, GO:0003700: sequence-specific DNA binding transcription factor activity, GO:0005515: protein binding, GO:0005634: nucleus, GO:0006351: transcription, DNA-dependent, GO:0006355: regulation of transcription, DNA-dependent, GO:0007275: multicellular organismal development, GO:0045893: positive regulation of transcription, DNA-dependent, GO:0046872: metal ion binding, GO:0046983: protein dimerization activity, GO:0070742: C2H2 zinc finger domain binding</t>
  </si>
  <si>
    <t>214084_at</t>
  </si>
  <si>
    <t>solute carrier family 18 (vesicular monoamine), member 2</t>
  </si>
  <si>
    <t>GO:0003779: actin binding, GO:0005861: troponin complex, GO:0006937: regulation of muscle contraction, GO:0055010: ventricular cardiac muscle tissue morphogenesis</t>
  </si>
  <si>
    <t>19289_at</t>
  </si>
  <si>
    <t>immunoglobulin superfamily, DCC subclass, member 3</t>
  </si>
  <si>
    <t>GO:0003674: molecular_function, GO:0005575: cellular_component, GO:0016020: membrane, GO:0016021: integral to membrane, GO:0050885: neuromuscular process controlling balance</t>
  </si>
  <si>
    <t>16773_at</t>
  </si>
  <si>
    <t>laminin, alpha 2</t>
  </si>
  <si>
    <t>GO:0005604: basement membrane, GO:0005604: basement membrane, GO:0005605: basal lamina, GO:0005605: basal lamina, GO:0007411: axon guidance, GO:0032224: positive regulation of synaptic transmission, cholinergic, GO:0042383: sarcolemma, GO:0043197: dendritic spine</t>
  </si>
  <si>
    <t>04510: Focal adhesion, 04512: ECM-receptor interaction, 05145: Toxoplasmosis, 05146: Amoebiasis, 05200: Pathways in cancer, 05222: Small cell lung cancer, 05410: Hypertrophic cardiomyopathy (HCM), 05412: Arrhythmogenic right ventricular cardiomyopathy (ARVC), 05414: Dilated cardiomyopathy, 05416: Viral myocarditis</t>
  </si>
  <si>
    <t>230752_at</t>
  </si>
  <si>
    <t>family with sequence similarity 176, member B</t>
  </si>
  <si>
    <t>13850_at</t>
  </si>
  <si>
    <t>epoxide hydrolase 2, cytoplasmic</t>
  </si>
  <si>
    <t>GO:0003674: molecular_function, GO:0004629: phospholipase C activity, GO:0004871: signal transducer activity, GO:0005543: phospholipid binding, GO:0005575: cellular_component, GO:0005622: intracellular, GO:0006629: lipid metabolic process, GO:0007165: signal transduction, GO:0008060: ARF GTPase activator activity, GO:0008150: biological_process, GO:0008270: zinc ion binding, GO:0016042: lipid catabolic process, GO:0016787: hydrolase activity, GO:0032312: regulation of ARF GTPase activity, GO:0035556: intracellular signal transduction, GO:0043547: positive regulation of GTPase activity, GO:0046872: metal ion binding</t>
  </si>
  <si>
    <t>04144: Endocytosis</t>
  </si>
  <si>
    <t>13924_at</t>
  </si>
  <si>
    <t>protein tyrosine phosphatase, receptor type, V</t>
  </si>
  <si>
    <t>GO:0000287: magnesium ion binding, GO:0002539: prostaglandin production involved in inflammatory response, GO:0003824: catalytic activity, GO:0003869: 4-nitrophenylphosphatase activity, GO:0004301: epoxide hydrolase activity, GO:0005102: receptor binding, GO:0005730: nucleolus, GO:0005737: cytoplasm, GO:0005777: peroxisome, GO:0005794: Golgi apparatus, GO:0005829: cytosol, GO:0005925: focal adhesion, GO:0006954: inflammatory response, GO:0009636: response to toxin, GO:0010628: positive regulation of gene expression, GO:0010628: positive regulation of gene expression, GO:0016787: hydrolase activity, GO:0016791: phosphatase activity, GO:0019233: sensory perception of pain, GO:0019439: aromatic compound catabolic process, GO:0042577: lipid phosphatase activity, GO:0042632: cholesterol homeostasis, GO:0042632: cholesterol homeostasis, GO:0042803: protein homodimerization activity, GO:0043651: linoleic acid metabolic process, GO:0045777: positive regulation of blood pressure, GO:0046839: phospholipid dephosphorylation, GO:0046872: metal ion binding, GO:0090181: regulation of cholesterol metabolic process, GO:0090181: regulation of cholesterol metabolic process</t>
  </si>
  <si>
    <t>00590: Arachidonic acid metabolism, 01100: Metabolic pathways, 04146: Peroxisome</t>
  </si>
  <si>
    <t>232680_at</t>
  </si>
  <si>
    <t>carboxypeptidase A2, pancreatic</t>
  </si>
  <si>
    <t>GO:0004180: carboxypeptidase activity, GO:0004181: metallocarboxypeptidase activity, GO:0005576: extracellular region, GO:0006508: proteolysis, GO:0008152: metabolic process, GO:0008233: peptidase activity, GO:0008237: metallopeptidase activity, GO:0008270: zinc ion binding, GO:0016787: hydrolase activity, GO:0046872: metal ion binding</t>
  </si>
  <si>
    <t>04972: Pancreatic secretion, 04974: Protein digestion and absorption</t>
  </si>
  <si>
    <t>20556_at</t>
  </si>
  <si>
    <t>schlafen 2</t>
  </si>
  <si>
    <t>GO:0008285: negative regulation of cell proliferation</t>
  </si>
  <si>
    <t>193385_at</t>
  </si>
  <si>
    <t>family with sequence similarity 65, member B</t>
  </si>
  <si>
    <t>26410_at</t>
  </si>
  <si>
    <t>mitogen-activated protein kinase kinase kinase 8</t>
  </si>
  <si>
    <t>GO:0000166: nucleotide binding, GO:0000186: activation of MAPKK activity, GO:0000287: magnesium ion binding, GO:0004672: protein kinase activity, GO:0004674: protein serine/threonine kinase activity, GO:0004709: MAP kinase kinase kinase activity, GO:0005524: ATP binding, GO:0005737: cytoplasm, GO:0006468: protein phosphorylation, GO:0007049: cell cycle, GO:0007165: signal transduction, GO:0016301: kinase activity, GO:0016310: phosphorylation, GO:0016740: transferase activity, GO:0016772: transferase activity, transferring phosphorus-containing groups, GO:0046872: metal ion binding</t>
  </si>
  <si>
    <t>04010: MAPK signaling pathway, 04620: Toll-like receptor signaling pathway, 04660: T cell receptor signaling pathway</t>
  </si>
  <si>
    <t>12822_at</t>
  </si>
  <si>
    <t>collagen, type XVIII, alpha 1</t>
  </si>
  <si>
    <t>GO:0001525: angiogenesis, GO:0001525: angiogenesis, GO:0001886: endothelial cell morphogenesis, GO:0005198: structural molecule activity, GO:0005576: extracellular region, GO:0005578: proteinaceous extracellular matrix, GO:0005581: collagen, GO:0005604: basement membrane, GO:0005615: extracellular space, GO:0007155: cell adhesion, GO:0007275: multicellular organismal development, GO:0008284: positive regulation of cell proliferation, GO:0016055: Wnt receptor signaling pathway, GO:0030198: extracellular matrix organization, GO:0030335: positive regulation of cell migration, GO:0031012: extracellular matrix, GO:0043065: positive regulation of apoptotic process, GO:0046872: metal ion binding</t>
  </si>
  <si>
    <t>14463_at</t>
  </si>
  <si>
    <t>GATA binding protein 4</t>
  </si>
  <si>
    <t>GO:0000977: RNA polymerase II regulatory region sequence-specific DNA binding, GO:0000981: sequence-specific DNA binding RNA polymerase II transcription factor activity, GO:0000981: sequence-specific DNA binding RNA polymerase II transcription factor activity, GO:0001076: RNA polymerase II transcription factor binding transcription factor activity, GO:0001158: enhancer sequence-specific DNA binding, GO:0001701: in utero embryonic development, GO:0001702: gastrulation with mouth forming second, GO:0001706: endoderm formation, GO:0001947: heart looping, GO:0003007: heart morphogenesis, GO:0003151: outflow tract morphogenesis, GO:0003181: atrioventricular valve morphogenesis, GO:0003181: atrioventricular valve morphogenesis, GO:0003192: mitral valve formation, GO:0003195: tricuspid valve formation, GO:0003197: endocardial cushion development, GO:0003197: endocardial cushion development, GO:0003215: cardiac right ventricle morphogenesis, GO:0003229: ventricular cardiac muscle tissue development, GO:0003281: ventricular septum development, GO:0003289: atrial septum primum morphogenesis, GO:0003290: atrial septum secundum morphogenesis, GO:0003677: DNA binding, GO:0003677: DNA binding, GO:0003682: chromatin binding, GO:0003700: sequence-specific DNA binding transcription factor activity, GO:0003700: sequence-specific DNA binding transcription factor activity, GO:0003705: RNA polymerase II distal enhancer sequence-specific DNA binding transcription factor activity, GO:0005515: protein binding, GO:0005634: nucleus, GO:0005634: nucleus, GO:0006351: transcription, DNA-dependent, GO:0006355: regulation of transcription, DNA-dependent, GO:0006355: regulation of transcription, DNA-dependent, GO:0006355: regulation of transcription, DNA-dependent, GO:0006357: regulation of transcription from RNA polymerase II promoter, GO:0006366: transcription from RNA polymerase II promoter, GO:0006366: transcription from RNA polymerase II promoter, GO:0007267: cell-cell signaling, GO:0007283: spermatogenesis, GO:0007507: heart development, GO:0008134: transcription factor binding, GO:0008270: zinc ion binding, GO:0009612: response to mechanical stimulus, GO:0010468: regulation of gene expression, GO:0010507: negative regulation of autophagy, GO:0010575: positive regulation vascular endothelial growth factor production, GO:0023019: signal transduction involved in regulation of gene expression, GO:0030509: BMP signaling pathway, GO:0030513: positive regulation of BMP signaling pathway, GO:0032526: response to retinoic acid, GO:0033613: activating transcription factor binding, GO:0035050: embryonic heart tube development, GO:0035054: embryonic heart tube anterior/posterior pattern specification, GO:0035239: tube morphogenesis, GO:0042493: response to drug, GO:0043565: sequence-specific DNA binding, GO:0043565: sequence-specific DNA binding, GO:0043627: response to estrogen stimulus, GO:0044212: transcription regulatory region DNA binding, GO:0045766: positive regulation of angiogenesis,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GO:0045944: positive regulation of transcription from RNA polymerase II promoter, GO:0046872: metal ion binding, GO:0048557: embryonic digestive tract morphogenesis, GO:0048598: embryonic morphogenesis, GO:0048617: embryonic foregut morphogenesis, GO:0051525: NFAT protein binding, GO:0055007: cardiac muscle cell differentiation, GO:0055007: cardiac muscle cell differentiation, GO:0060008: Sertoli cell differentiation, GO:0060043: regulation of cardiac muscle cell proliferation, GO:0060045: positive regulation of cardiac muscle cell proliferation, GO:0060070: canonical Wnt receptor signaling pathway, GO:0060395: SMAD protein signal transduction, GO:0060413: atrial septum morphogenesis, GO:0060425: lung morphogenesis, GO:0060464: lung lobe formation, GO:0060540: diaphragm morphogenesis, GO:0060575: intestinal epithelial cell differentiation, GO:0060979: vasculogenesis involved in coronary vascular morphogenesis, GO:0061049: cell growth involved in cardiac muscle cell development, GO:0071371: cellular response to gonadotropin stimulus, GO:0071372: cellular response to follicle-stimulating hormone stimulus, GO:0072148: epithelial cell fate commitment, GO:0072520: seminiferous tubule development</t>
  </si>
  <si>
    <t>a disintegrin-like and metallopeptidase (reprolysin type) with thrombospondin type 1 motif, 1</t>
  </si>
  <si>
    <t>GO:0004175: endopeptidase activity, GO:0004222: metalloendopeptidase activity, GO:0005737: cytoplasm, GO:0005886: plasma membrane, GO:0005903: brush border, GO:0006508: proteolysis, GO:0006518: peptide metabolic process, GO:0008021: synaptic vesicle, GO:0008233: peptidase activity, GO:0008237: metallopeptidase activity, GO:0008270: zinc ion binding, GO:0016020: membrane, GO:0016021: integral to membrane, GO:0016787: hydrolase activity, GO:0019233: sensory perception of pain, GO:0030424: axon, GO:0030425: dendrite, GO:0042277: peptide binding, GO:0044306: neuron projection terminus, GO:0045202: synapse, GO:0046449: creatinine metabolic process, GO:0046872: metal ion binding, GO:0050435: beta-amyloid metabolic process, GO:0071345: cellular response to cytokine stimulus, GO:0071492: cellular response to UV-A, GO:0071493: cellular response to UV-B</t>
  </si>
  <si>
    <t>GO:0001533: cornified envelope, GO:0002934: desmosome organization, GO:0003223: ventricular compact myocardium morphogenesis, GO:0005198: structural molecule activity, GO:0005515: protein binding, GO:0005737: cytoplasm, GO:0005739: mitochondrion, GO:0005856: cytoskeleton, GO:0005882: intermediate filament, GO:0005886: plasma membrane, GO:0005911: cell-cell junction, GO:0005916: fascia adherens, GO:0014704: intercalated disc, GO:0016020: membrane, GO:0016323: basolateral plasma membrane, GO:0016337: cell-cell adhesion, GO:0018149: peptide cross-linking, GO:0030054: cell junction, GO:0030057: desmosome, GO:0030057: desmosome, GO:0030216: keratinocyte differentiation, GO:0030674: protein binding, bridging, GO:0034332: adherens junction organization, GO:0043588: skin development, GO:0045104: intermediate filament cytoskeleton organization, GO:0045109: intermediate filament organization, GO:0071896: protein localization to adherens junction</t>
  </si>
  <si>
    <t>GO:0003674: molecular_function, GO:0003774: motor activity, GO:0005923: tight junction, GO:0008150: biological_process, GO:0008152: metabolic process, GO:0015629: actin cytoskeleton, GO:0016459: myosin complex, GO:0030054: cell junction, GO:0043296: apical junction complex</t>
  </si>
  <si>
    <t>18542_at</t>
  </si>
  <si>
    <t>procollagen C-endopeptidase enhancer protein</t>
  </si>
  <si>
    <t>13003_at</t>
  </si>
  <si>
    <t>versican</t>
  </si>
  <si>
    <t>GO:0005576: extracellular region, GO:0005578: proteinaceous extracellular matrix, GO:0005615: extracellular space, GO:0007507: heart development, GO:0008347: glial cell migration</t>
  </si>
  <si>
    <t>11504_at</t>
  </si>
  <si>
    <t>05412: Arrhythmogenic right ventricular cardiomyopathy (ARVC)</t>
  </si>
  <si>
    <t>14266_at</t>
  </si>
  <si>
    <t>AF4/FMR2 family, member 2</t>
  </si>
  <si>
    <t>GO:0005518: collagen binding, GO:0005576: extracellular region, GO:0005581: collagen, GO:0005615: extracellular space, GO:0006508: proteolysis, GO:0008201: heparin binding, GO:0010952: positive regulation of peptidase activity, GO:0016504: peptidase activator activity</t>
  </si>
  <si>
    <t>17380_at</t>
  </si>
  <si>
    <t>membrane metallo endopeptidase</t>
  </si>
  <si>
    <t>GO:0002151: G-quadruplex RNA binding, GO:0003723: RNA binding, GO:0005634: nucleus, GO:0006397: mRNA processing, GO:0007611: learning or memory, GO:0008380: RNA splicing, GO:0016607: nuclear speck, GO:0016607: nuclear speck, GO:0043484: regulation of RNA splicing, GO:0043484: regulation of RNA splicing</t>
  </si>
  <si>
    <t>GO:0001542: ovulation from ovarian follicle, GO:0001822: kidney development, GO:0004222: metalloendopeptidase activity, GO:0004222: metalloendopeptidase activity, GO:0004222: metalloendopeptidase activity, GO:0005515: protein binding, GO:0005576: extracellular region, GO:0005578: proteinaceous extracellular matrix, GO:0005604: basement membrane, GO:0006508: proteolysis, GO:0008201: heparin binding, GO:0008233: peptidase activity, GO:0008237: metallopeptidase activity, GO:0008270: zinc ion binding, GO:0016525: negative regulation of angiogenesis, GO:0016787: hydrolase activity, GO:0031012: extracellular matrix, GO:0031410: cytoplasmic vesicle, GO:0046872: metal ion binding, GO:0060347: heart trabecula formation</t>
  </si>
  <si>
    <t>109620_at</t>
  </si>
  <si>
    <t>desmoplakin</t>
  </si>
  <si>
    <t>04614: Renin-angiotensin system, 04640: Hematopoietic cell lineage, 04974: Protein digestion and absorption, 05010: Alzheimer's disease</t>
  </si>
  <si>
    <t>13618_at</t>
  </si>
  <si>
    <t>endothelin receptor type B</t>
  </si>
  <si>
    <t>68178_at</t>
  </si>
  <si>
    <t>cingulin-like 1</t>
  </si>
  <si>
    <t>GO:0000122: negative regulation of transcription from RNA polymerase II promoter, GO:0000122: negative regulation of transcription from RNA polymerase II promoter, GO:0001755: neural crest cell migration, GO:0001934: positive regulation of protein phosphorylation, GO:0004871: signal transducer activity, GO:0004930: G-protein coupled receptor activity, GO:0004962: endothelin receptor activity, GO:0004962: endothelin receptor activity, GO:0004962: endothelin receptor activity, GO:0005515: protein binding, GO:0005886: plasma membrane, GO:0006885: regulation of pH, GO:0007165: signal transduction, GO:0007186: G-protein coupled receptor signaling pathway, GO:0007186: G-protein coupled receptor signaling pathway, GO:0007186: G-protein coupled receptor signaling pathway, GO:0007200: phospholipase C-activating G-protein coupled receptor signaling pathway, GO:0007204: elevation of cytosolic calcium ion concentration, GO:0007422: peripheral nervous system development, GO:0007497: posterior midgut development, GO:0008217: regulation of blood pressure, GO:0008217: regulation of blood pressure, GO:0008284: positive regulation of cell proliferation, GO:0014043: negative regulation of neuron maturation, GO:0014826: vein smooth muscle contraction, GO:0016020: membrane, GO:0016021: integral to membrane, GO:0017046: peptide hormone binding, GO:0019233: sensory perception of pain, GO:0019934: cGMP-mediated signaling, GO:0030318: melanocyte differentiation, GO:0030318: melanocyte differentiation, GO:0030318: melanocyte differentiation, GO:0031702: type 1 angiotensin receptor binding, GO:0031965: nuclear membrane, GO:0032269: negative regulation of cellular protein metabolic process, GO:0032496: response to lipopolysaccharide, GO:0035645: enteric smooth muscle cell differentiation, GO:0035810: positive regulation of urine volume, GO:0035815: positive regulation of renal sodium excretion, GO:0042045: epithelial fluid transport, GO:0042310: vasoconstriction, GO:0042311: vasodilation, GO:0043066: negative regulation of apoptotic process, GO:0043473: pigmentation, GO:0043473: pigmentation, GO:0045121: membrane raft, GO:0048066: developmental pigmentation, GO:0048246: macrophage chemotaxis, GO:0048265: response to pain, GO:0048484: enteric nervous system development, GO:0048484: enteric nervous system development, GO:0050678: regulation of epithelial cell proliferation, GO:0051930: regulation of sensory perception of pain, GO:0060406: positive regulation of penile erection, GO:0086100: endothelin receptor signaling pathway, GO:0086100: endothelin receptor signaling pathway, GO:0086100: endothelin receptor signaling pathway</t>
  </si>
  <si>
    <t>GO:0004623: phospholipase A2 activity, GO:0004623: phospholipase A2 activity, GO:0005102: receptor binding, GO:0005102: receptor binding, GO:0005509: calcium ion binding, GO:0005576: extracellular region, GO:0005576: extracellular region, GO:0005615: extracellular space, GO:0006633: fatty acid biosynthetic process, GO:0006644: phospholipid metabolic process, GO:0006950: response to stress, GO:0008283: cell proliferation, GO:0009395: phospholipid catabolic process, GO:0016042: lipid catabolic process, GO:0016787: hydrolase activity, GO:0030141: secretory granule, GO:0043498: cell surface binding, GO:0044240: multicellular organismal lipid catabolic process, GO:0045740: positive regulation of DNA replication, GO:0046470: phosphatidylcholine metabolic process, GO:0046872: metal ion binding, GO:0047498: calcium-dependent phospholipase A2 activity</t>
  </si>
  <si>
    <t>00564: Glycerophospholipid metabolism, 00565: Ether lipid metabolism, 00590: Arachidonic acid metabolism, 00591: Linoleic acid metabolism, 00592: alpha-Linolenic acid metabolism, 01100: Metabolic pathways, 04010: MAPK signaling pathway, 04270: Vascular smooth muscle contraction, 04370: VEGF signaling pathway, 04664: Fc epsilon RI signaling pathway, 04730: Long-term depression, 04912: GnRH signaling pathway, 04972: Pancreatic secretion, 04975: Fat digestion and absorption, 05145: Toxoplasmosis</t>
  </si>
  <si>
    <t>70097_at</t>
  </si>
  <si>
    <t>SAM and SH3 domain containing 1</t>
  </si>
  <si>
    <t>18596_at</t>
  </si>
  <si>
    <t>platelet derived growth factor receptor, beta polypeptide</t>
  </si>
  <si>
    <t>04020: Calcium signaling pathway, 04080: Neuroactive ligand-receptor interaction, 04916: Melanogenesis</t>
  </si>
  <si>
    <t>68792_at</t>
  </si>
  <si>
    <t>sushi-repeat-containing protein, X-linked 2</t>
  </si>
  <si>
    <t>GO:0001525: angiogenesis, GO:0005102: receptor binding, GO:0005102: receptor binding, GO:0005576: extracellular region, GO:0005737: cytoplasm, GO:0007155: cell adhesion, GO:0016337: cell-cell adhesion, GO:0042325: regulation of phosphorylation, GO:0048870: cell motility, GO:0090050: positive regulation of cell migration involved in sprouting angiogenesis</t>
  </si>
  <si>
    <t>18778_at</t>
  </si>
  <si>
    <t>phospholipase A2, group IB, pancreas</t>
  </si>
  <si>
    <t>GO:0000166: nucleotide binding, GO:0001701: in utero embryonic development, GO:0001822: kidney development, GO:0001894: tissue homeostasis, GO:0004672: protein kinase activity, GO:0004713: protein tyrosine kinase activity, GO:0004714: transmembrane receptor protein tyrosine kinase activity, GO:0004871: signal transducer activity, GO:0005017: platelet-derived growth factor-activated receptor activity, GO:0005019: platelet-derived growth factor beta-receptor activity, GO:0005021: vascular endothelial growth factor-activated receptor activity, GO:0005102: receptor binding, GO:0005102: receptor binding, GO:0005161: platelet-derived growth factor receptor binding, GO:0005515: protein binding, GO:0005524: ATP binding, GO:0005634: nucleus, GO:0005737: cytoplasm, GO:0005764: lysosome, GO:0005886: plasma membrane, GO:0005887: integral to plasma membrane, GO:0006024: glycosaminoglycan biosynthetic process, GO:0006468: protein phosphorylation, GO:0006807: nitrogen compound metabolic process, GO:0006935: chemotaxis, GO:0007165: signal transduction, GO:0007165: signal transduction, GO:0007169: transmembrane receptor protein tyrosine kinase signaling pathway, GO:0007179: transforming growth factor beta receptor signaling pathway, GO:0007243: intracellular protein kinase cascade, GO:0007275: multicellular organismal development, GO:0008284: positive regulation of cell proliferation, GO:0010863: positive regulation of phospholipase C activity, GO:0014068: positive regulation of phosphatidylinositol 3-kinase cascade, GO:0014911: positive regulation of smooth muscle cell migration, GO:0014911: positive regulation of smooth muscle cell migration, GO:0014911: positive regulation of smooth muscle cell migration, GO:0016020: membrane, GO:0016021: integral to membrane, GO:0016301: kinase activity, GO:0016310: phosphorylation, GO:0016324: apical plasma membrane, GO:0016477: cell migration, GO:0016740: transferase activity, GO:0016772: transferase activity, transferring phosphorus-containing groups, GO:0018108: peptidyl-tyrosine phosphorylation, GO:0018108: peptidyl-tyrosine phosphorylation, GO:0030325: adrenal gland development, GO:0030335: positive regulation of cell migration, GO:0031226: intrinsic to plasma membrane, GO:0031410: cytoplasmic vesicle, GO:0032516: positive regulation of phosphoprotein phosphatase activity, GO:0032956: regulation of actin cytoskeleton organization, GO:0032967: positive regulation of collagen biosynthetic process, GO:0035441: cell migration involved in vasculogenesis, GO:0035789: metanephric mesenchymal cell migration, GO:0035791: platelet-derived growth factor receptor-beta signaling pathway, GO:0035793: positive regulation of metanephric mesenchymal cell migration by platelet-derived growth factor receptor-beta signaling pathway, GO:0035909: aorta morphogenesis, GO:0036120: cellular response to platelet-derived growth factor stimulus, GO:0038084: vascular endothelial growth factor signaling pathway, GO:0038085: vascular endothelial growth factor binding, GO:0038091: positive regulation of cell proliferation by VEGF-activated platelet derived growth factor receptor signaling pathway, GO:0043406: positive regulation of MAP kinase activity, GO:0043548: phosphatidylinositol 3-kinase binding, GO:0043552: positive regulation of phosphatidylinositol 3-kinase activity, GO:0045768: positive regulation of anti-apoptosis, GO:0045840: positive regulation of mitosis, GO:0046488: phosphatidylinositol metabolic process, GO:0046777: protein autophosphorylation, GO:0046777: protein autophosphorylation, GO:0048008: platelet-derived growth factor receptor signaling pathway, GO:0048008: platelet-derived growth factor receptor signaling pathway, GO:0048010: vascular endothelial growth factor receptor signaling pathway, GO:0048015: phosphatidylinositol-mediated signaling, GO:0048407: platelet-derived growth factor binding, GO:0048407: platelet-derived growth factor binding, GO:0048661: positive regulation of smooth muscle cell proliferation, GO:0048661: positive regulation of smooth muscle cell proliferation, GO:0048705: skeletal system morphogenesis, GO:0048745: smooth muscle tissue development, GO:0050730: regulation of peptidyl-tyrosine phosphorylation, GO:0050921: positive regulation of chemotaxis, GO:0055003: cardiac myofibril assembly, GO:0060326: cell chemotaxis, GO:0060947: cardiac vascular smooth muscle cell differentiation, GO:0060981: cell migration involved in coronary angiogenesis, GO:0061298: retina vasculature development in camera-type eye, GO:0061298: retina vasculature development in camera-type eye, GO:0070374: positive regulation of ERK1 and ERK2 cascade, GO:0070374: positive regulation of ERK1 and ERK2 cascade, GO:0070374: positive regulation of ERK1 and ERK2 cascade, GO:0071670: smooth muscle cell chemotaxis, GO:0072262: metanephric glomerular mesangial cell proliferation involved in metanephros development, GO:0072277: metanephric glomerular capillary formation, GO:0090280: positive regulation of calcium ion import, GO:2000379: positive regulation of reactive oxygen species metabolic process, GO:2000573: positive regulation of DNA biosynthetic process</t>
  </si>
  <si>
    <t>04010: MAPK signaling pathway, 04020: Calcium signaling pathway, 04060: Cytokine-cytokine receptor interaction, 04510: Focal adhesion, 04540: Gap junction, 04810: Regulation of actin cytoskeleton, 05200: Pathways in cancer, 05214: Glioma, 05215: Prostate cancer, 05218: Melanoma</t>
  </si>
  <si>
    <t>14115_at</t>
  </si>
  <si>
    <t>fibulin 2</t>
  </si>
  <si>
    <t>GO:0010811: positive regulation of cell-substrate adhesion, GO:0050840: extracellular matrix binding</t>
  </si>
  <si>
    <t>100038470_at</t>
  </si>
  <si>
    <t>predicted gene 10808</t>
  </si>
  <si>
    <t>268780_at</t>
  </si>
  <si>
    <t>EGF-like, fibronectin type III and laminin G domains</t>
  </si>
  <si>
    <t>GO:0005515: protein binding, GO:0005539: glycosaminoglycan binding, GO:0005576: extracellular region, GO:0005578: proteinaceous extracellular matrix, GO:0005604: basement membrane, GO:0005614: interstitial matrix, GO:0010811: positive regulation of cell-substrate adhesion, GO:0019800: peptide cross-linking via chondroitin 4-sulfate glycosaminoglycan, GO:0030054: cell junction, GO:0030198: extracellular matrix organization, GO:0031012: extracellular matrix, GO:0045202: synapse</t>
  </si>
  <si>
    <t>12835_at</t>
  </si>
  <si>
    <t>collagen, type VI, alpha 3</t>
  </si>
  <si>
    <t>GO:0005581: collagen, GO:0005615: extracellular space, GO:0005615: extracellular space, GO:0031012: extracellular matrix, GO:0031012: extracellular matrix, GO:0042383: sarcolemma</t>
  </si>
  <si>
    <t>04510: Focal adhesion, 04512: ECM-receptor interaction, 04974: Protein digestion and absorption</t>
  </si>
  <si>
    <t>17158_at</t>
  </si>
  <si>
    <t>mannosidase 2, alpha 1</t>
  </si>
  <si>
    <t>GO:0003674: molecular_function, GO:0005096: GTPase activator activity, GO:0005622: intracellular, GO:0005737: cytoplasm, GO:0005813: centrosome, GO:0008150: biological_process, GO:0043547: positive regulation of GTPase activity, GO:0051056: regulation of small GTPase mediated signal transduction</t>
  </si>
  <si>
    <t>70571_at</t>
  </si>
  <si>
    <t>transcription elongation regulator 1-like</t>
  </si>
  <si>
    <t>68810_at</t>
  </si>
  <si>
    <t>nexilin</t>
  </si>
  <si>
    <t>GO:0003779: actin binding, GO:0005737: cytoplasm, GO:0005856: cytoskeleton, GO:0005924: cell-substrate adherens junction, GO:0008307: structural constituent of muscle, GO:0030018: Z disc, GO:0030054: cell junction, GO:0030334: regulation of cell migration, GO:0051015: actin filament binding</t>
  </si>
  <si>
    <t>12728_at</t>
  </si>
  <si>
    <t>chloride channel 5</t>
  </si>
  <si>
    <t>GO:0000139: Golgi membrane, GO:0001701: in utero embryonic development, GO:0001889: liver development, GO:0003824: catalytic activity, GO:0004553: hydrolase activity, hydrolyzing O-glycosyl compounds, GO:0004559: alpha-mannosidase activity, GO:0004572: mannosyl-oligosaccharide 1,3-1,6-alpha-mannosidase activity, GO:0005794: Golgi apparatus, GO:0005975: carbohydrate metabolic process, GO:0006013: mannose metabolic process, GO:0006491: N-glycan processing, GO:0007005: mitochondrion organization, GO:0007033: vacuole organization, GO:0007585: respiratory gaseous exchange, GO:0008152: metabolic process, GO:0008270: zinc ion binding, GO:0015923: mannosidase activity, GO:0016020: membrane, GO:0016021: integral to membrane, GO:0016787: hydrolase activity, GO:0016798: hydrolase activity, acting on glycosyl bonds, GO:0016799: hydrolase activity, hydrolyzing N-glycosyl compounds, GO:0030246: carbohydrate binding, GO:0043169: cation binding, GO:0046872: metal ion binding, GO:0048286: lung alveolus development</t>
  </si>
  <si>
    <t>11857_at</t>
  </si>
  <si>
    <t>Rho, GDP dissociation inhibitor (GDI) beta</t>
  </si>
  <si>
    <t>GO:0005094: Rho GDP-dissociation inhibitor activity, GO:0005096: GTPase activator activity, GO:0005737: cytoplasm, GO:0043547: positive regulation of GTPase activity, GO:0050790: regulation of catalytic activity</t>
  </si>
  <si>
    <t>04722: Neurotrophin signaling pathway, 04962: Vasopressin-regulated water reabsorption</t>
  </si>
  <si>
    <t>56089_at</t>
  </si>
  <si>
    <t>receptor (calcitonin) activity modifying protein 3</t>
  </si>
  <si>
    <t>GO:0000166: nucleotide binding, GO:0005216: ion channel activity, GO:0005247: voltage-gated chloride channel activity, GO:0005524: ATP binding, GO:0005768: endosome, GO:0005794: Golgi apparatus, GO:0005886: plasma membrane, GO:0006810: transport, GO:0006811: ion transport, GO:0006821: chloride transport, GO:0006897: endocytosis, GO:0015297: antiporter activity, GO:0016020: membrane, GO:0016021: integral to membrane, GO:0034220: ion transmembrane transport, GO:0034765: regulation of ion transmembrane transport, GO:0044070: regulation of anion transport, GO:0045177: apical part of cell, GO:0045177: apical part of cell, GO:0055085: transmembrane transport</t>
  </si>
  <si>
    <t>67246_at</t>
  </si>
  <si>
    <t>RIKEN cDNA 2810474O19 gene</t>
  </si>
  <si>
    <t>11614_at</t>
  </si>
  <si>
    <t>nuclear receptor subfamily 0, group B, member 1</t>
  </si>
  <si>
    <t>GO:0001921: positive regulation of receptor recycling, GO:0004872: receptor activity, GO:0005622: intracellular, GO:0005886: plasma membrane, GO:0006810: transport, GO:0006816: calcium ion transport, GO:0006886: intracellular protein transport, GO:0007165: signal transduction, GO:0007186: G-protein coupled receptor signaling pathway, GO:0008277: regulation of G-protein coupled receptor protein signaling pathway, GO:0008565: protein transporter activity, GO:0009986: cell surface, GO:0015026: coreceptor activity, GO:0015026: coreceptor activity, GO:0015031: protein transport, GO:0016020: membrane, GO:0016021: integral to membrane, GO:0031623: receptor internalization, GO:0043235: receptor complex, GO:0045892: negative regulation of transcription, DNA-dependent, GO:0072659: protein localization to plasma membrane</t>
  </si>
  <si>
    <t>69574_at</t>
  </si>
  <si>
    <t>carboxymethylenebutenolidase-like (Pseudomonas)</t>
  </si>
  <si>
    <t>GO:0003674: molecular_function, GO:0005575: cellular_component, GO:0005737: cytoplasm, GO:0008150: biological_process, GO:0008152: metabolic process, GO:0016787: hydrolase activity</t>
  </si>
  <si>
    <t>380711_at</t>
  </si>
  <si>
    <t>RAP1 GTPase activating protein 2</t>
  </si>
  <si>
    <t>GO:0000122: negative regulation of transcription from RNA polymerase II promoter, GO:0000122: negative regulation of transcription from RNA polymerase II promoter, GO:0000122: negative regulation of transcription from RNA polymerase II promoter, GO:0003677: DNA binding, GO:0003690: double-stranded DNA binding, GO:0003700: sequence-specific DNA binding transcription factor activity, GO:0003707: steroid hormone receptor activity, GO:0003714: transcription corepressor activity, GO:0003714: transcription corepressor activity, GO:0003723: RNA binding, GO:0003723: RNA binding, GO:0004879: ligand-activated sequence-specific DNA binding RNA polymerase II transcription factor activity, GO:0005515: protein binding, GO:0005634: nucleus, GO:0005634: nucleus, GO:0005737: cytoplasm, GO:0005737: cytoplasm, GO:0006351: transcription, DNA-dependent, GO:0006355: regulation of transcription, DNA-dependent, GO:0006694: steroid biosynthetic process, GO:0006950: response to stress, GO:0007283: spermatogenesis, GO:0007530: sex determination, GO:0008104: protein localization, GO:0008134: transcription factor binding, GO:0008406: gonad development, GO:0008584: male gonad development, GO:0008584: male gonad development, GO:0019904: protein domain specific binding, GO:0030154: cell differentiation, GO:0030238: male sex determination, GO:0030238: male sex determination, GO:0030325: adrenal gland development, GO:0030325: adrenal gland development, GO:0030522: intracellular receptor mediated signaling pathway, GO:0032448: DNA hairpin binding, GO:0033144: negative regulation of intracellular steroid hormone receptor signaling pathway, GO:0033327: Leydig cell differentiation, GO:0035258: steroid hormone receptor binding, GO:0042788: polysomal ribosome, GO:0042788: polysomal ribosome, GO:0042803: protein homodimerization activity, GO:0043401: steroid hormone mediated signaling pathway, GO:0043433: negative regulation of sequence-specific DNA binding transcription factor activity, GO:0043565: sequence-specific DNA binding, GO:0045596: negative regulation of cell differentiation, GO:0045892: negative regulation of transcription, DNA-dependent, GO:0045892: negative regulation of transcription, DNA-dependent, GO:0050682: AF-2 domain binding, GO:0060008: Sertoli cell differentiation</t>
  </si>
  <si>
    <t>GO:0001525: angiogenesis, GO:0004435: phosphatidylinositol phospholipase C activity, GO:0004629: phospholipase C activity, GO:0004871: signal transducer activity, GO:0005509: calcium ion binding, GO:0005543: phospholipid binding, GO:0005546: phosphatidylinositol-4,5-bisphosphate binding, GO:0005622: intracellular, GO:0005634: nucleus, GO:0005737: cytoplasm, GO:0005829: cytosol, GO:0005829: cytosol, GO:0006629: lipid metabolic process, GO:0007165: signal transduction, GO:0007186: G-protein coupled receptor signaling pathway, GO:0008081: phosphoric diester hydrolase activity, GO:0010701: positive regulation of norepinephrine secretion, GO:0016042: lipid catabolic process, GO:0016787: hydrolase activity, GO:0031966: mitochondrial membrane, GO:0032794: GTPase activating protein binding, GO:0032962: positive regulation of inositol trisphosphate biosynthetic process, GO:0035556: intracellular signal transduction, GO:0042127: regulation of cell proliferation, GO:0043434: response to peptide hormone stimulus, GO:0045121: membrane raft, GO:0046872: metal ion binding, GO:0051482: elevation of cytosolic calcium ion concentration involved in phospholipase C-activating G-protein coupled signaling pathway, GO:0051592: response to calcium ion, GO:0060716: labyrinthine layer blood vessel development</t>
  </si>
  <si>
    <t>00562: Inositol phosphate metabolism, 01100: Metabolic pathways, 04020: Calcium signaling pathway, 04070: Phosphatidylinositol signaling system</t>
  </si>
  <si>
    <t>13017_at</t>
  </si>
  <si>
    <t>C-terminal binding protein 2</t>
  </si>
  <si>
    <t>04530: Tight junction, 04810: Regulation of actin cytoskeleton, 05416: Viral myocarditis</t>
  </si>
  <si>
    <t>20563_at</t>
  </si>
  <si>
    <t>GO:0000166: nucleotide binding, GO:0003714: transcription corepressor activity, GO:0003714: transcription corepressor activity, GO:0005515: protein binding, GO:0005634: nucleus, GO:0006351: transcription, DNA-dependent, GO:0006355: regulation of transcription, DNA-dependent, GO:0008152: metabolic process, GO:0016491: oxidoreductase activity, GO:0016616: oxidoreductase activity, acting on the CH-OH group of donors, NAD or NADP as acceptor, GO:0017053: transcriptional repressor complex, GO:0030054: cell junction, GO:0030154: cell differentiation, GO:0045202: synapse, GO:0045892: negative regulation of transcription, DNA-dependent, GO:0045892: negative regulation of transcription, DNA-dependent, GO:0048037: cofactor binding, GO:0050872: white fat cell differentiation, GO:0051287: NAD binding, GO:0055114: oxidation-reduction process</t>
  </si>
  <si>
    <t>04310: Wnt signaling pathway, 04330: Notch signaling pathway, 05200: Pathways in cancer, 05220: Chronic myeloid leukemia</t>
  </si>
  <si>
    <t>69993_at</t>
  </si>
  <si>
    <t>chimerin (chimaerin) 2</t>
  </si>
  <si>
    <t>GO:0005096: GTPase activator activity, GO:0005622: intracellular, GO:0007165: signal transduction, GO:0016020: membrane, GO:0035556: intracellular signal transduction, GO:0045202: synapse, GO:0046872: metal ion binding</t>
  </si>
  <si>
    <t>77579_at</t>
  </si>
  <si>
    <t>myosin, heavy polypeptide 10, non-muscle</t>
  </si>
  <si>
    <t>18799_at</t>
  </si>
  <si>
    <t>phospholipase C, delta 1</t>
  </si>
  <si>
    <t>slit homolog 2 (Drosophila)</t>
  </si>
  <si>
    <t>GO:0000146: microfilament motor activity, GO:0000166: nucleotide binding, GO:0000281: cytokinesis after mitosis, GO:0000281: cytokinesis after mitosis, GO:0001701: in utero embryonic development, GO:0001725: stress fiber, GO:0001725: stress fiber, GO:0001725: stress fiber, GO:0001764: neuron migration, GO:0001778: plasma membrane repair, GO:0003774: motor activity, GO:0003779: actin binding, GO:0005515: protein binding, GO:0005516: calmodulin binding, GO:0005524: ATP binding, GO:0005737: cytoplasm, GO:0005737: cytoplasm, GO:0005819: spindle, GO:0005886: plasma membrane, GO:0005938: cell cortex, GO:0005938: cell cortex, GO:0006887: exocytosis, GO:0006930: substrate-dependent cell migration, cell extension, GO:0007097: nuclear migration, GO:0007409: axonogenesis, GO:0007411: axon guidance, GO:0007420: brain development, GO:0007512: adult heart development, GO:0008152: metabolic process, GO:0008283: cell proliferation, GO:0008360: regulation of cell shape, GO:0016459: myosin complex, GO:0016460: myosin II complex, GO:0021592: fourth ventricle development, GO:0021670: lateral ventricle development, GO:0021678: third ventricle development, GO:0021680: cerebellar Purkinje cell layer development, GO:0030036: actin cytoskeleton organization, GO:0030048: actin filament-based movement, GO:0030239: myofibril assembly, GO:0030424: axon, GO:0030426: growth cone, GO:0030496: midbody, GO:0030898: actin-dependent ATPase activity, GO:0031175: neuron projection development, GO:0031594: neuromuscular junction, GO:0032154: cleavage furrow, GO:0043005: neuron projection, GO:0043025: neuronal cell body, GO:0043197: dendritic spine, GO:0043531: ADP binding, GO:0050885: neuromuscular process controlling balance, GO:0051015: actin filament binding, GO:0055003: cardiac myofibril assembly, GO:0055015: ventricular cardiac muscle cell development, GO:0060041: retina development in camera-type eye</t>
  </si>
  <si>
    <t>GO:0001656: metanephros development, GO:0001657: ureteric bud development, GO:0001701: in utero embryonic development, GO:0001933: negative regulation of protein phosphorylation, GO:0002042: cell migration involved in sprouting angiogenesis, GO:0002689: negative regulation of leukocyte chemotaxis, GO:0005095: GTPase inhibitor activity, GO:0005102: receptor binding, GO:0005509: calcium ion binding, GO:0005576: extracellular region, GO:0005615: extracellular space, GO:0005615: extracellular space, GO:0005737: cytoplasm, GO:0005886: plasma membrane, GO:0006935: chemotaxis, GO:0007275: multicellular organismal development, GO:0007399: nervous system development, GO:0007409: axonogenesis, GO:0007409: axonogenesis, GO:0007411: axon guidance, GO:0007411: axon guidance, GO:0007411: axon guidance, GO:0007411: axon guidance, GO:0008045: motor axon guidance, GO:0008201: heparin binding, GO:0008285: negative regulation of cell proliferation, GO:0009986: cell surface, GO:0010593: negative regulation of lamellipodium assembly, GO:0010596: negative regulation of endothelial cell migration, GO:0010629: negative regulation of gene expression, GO:0014912: negative regulation of smooth muscle cell migration, GO:0016337: cell-cell adhesion, GO:0016337: cell-cell adhesion, GO:0021772: olfactory bulb development, GO:0021836: chemorepulsion involved in postnatal olfactory bulb interneuron migration, GO:0021972: corticospinal neuron axon guidance through spinal cord, GO:0022029: telencephalon cell migration, GO:0030154: cell differentiation, GO:0030308: negative regulation of cell growth, GO:0030336: negative regulation of cell migration, GO:0030837: negative regulation of actin filament polymerization, GO:0031290: retinal ganglion cell axon guidance, GO:0031290: retinal ganglion cell axon guidance, GO:0031290: retinal ganglion cell axon guidance, GO:0033563: dorsal/ventral axon guidance, GO:0033563: dorsal/ventral axon guidance, GO:0035385: Roundabout signaling pathway, GO:0042803: protein homodimerization activity, GO:0043065: positive regulation of apoptotic process, GO:0043116: negative regulation of vascular permeability, GO:0043237: laminin-1 binding, GO:0043394: proteoglycan binding, GO:0043395: heparan sulfate proteoglycan binding, GO:0045499: chemorepellent activity, GO:0048495: Roundabout binding, GO:0048754: branching morphogenesis of a tube, GO:0048812: neuron projection morphogenesis, GO:0048812: neuron projection morphogenesis, GO:0048846: axon extension involved in axon guidance, GO:0050728: negative regulation of inflammatory response, GO:0050919: negative chemotaxis, GO:0050919: negative chemotaxis, GO:0050929: induction of negative chemotaxis, GO:0051058: negative regulation of small GTPase mediated signal transduction, GO:0060603: mammary gland duct morphogenesis, GO:0060603: mammary gland duct morphogenesis, GO:0060763: mammary duct terminal end bud growth, GO:0070100: negative regulation of chemokine-mediated signaling pathway, GO:0071504: cellular response to heparin, GO:0071672: negative regulation of smooth muscle cell chemotaxis, GO:0071676: negative regulation of mononuclear cell migration, GO:0090024: negative regulation of neutrophil chemotaxis, GO:0090027: negative regulation of monocyte chemotaxis, GO:0090260: negative regulation of retinal ganglion cell axon guidance, GO:0090288: negative regulation of cellular response to growth factor stimulus</t>
  </si>
  <si>
    <t>GO:0003674: molecular_function, GO:0005783: endoplasmic reticulum, GO:0016020: membrane, GO:0016021: integral to membrane</t>
  </si>
  <si>
    <t>23967_at</t>
  </si>
  <si>
    <t>odd-skipped related 1 (Drosophila)</t>
  </si>
  <si>
    <t>60440_at</t>
  </si>
  <si>
    <t>interferon inducible GTPase 1</t>
  </si>
  <si>
    <t>GO:0000166: nucleotide binding, GO:0003924: GTPase activity, GO:0003924: GTPase activity, GO:0005525: GTP binding, GO:0005634: nucleus, GO:0005737: cytoplasm, GO:0005783: endoplasmic reticulum, GO:0005789: endoplasmic reticulum membrane, GO:0005794: Golgi apparatus, GO:0008152: metabolic process, GO:0010506: regulation of autophagy, GO:0016020: membrane, GO:0016787: hydrolase activity, GO:0016817: hydrolase activity, acting on acid anhydrides, GO:0019003: GDP binding, GO:0019221: cytokine-mediated signaling pathway, GO:0020005: symbiont-containing vacuole membrane, GO:0035458: cellular response to interferon-beta, GO:0042802: identical protein binding, GO:0042832: defense response to protozoan, GO:0045087: innate immune response, GO:0050829: defense response to Gram-negative bacterium</t>
  </si>
  <si>
    <t>66848_at</t>
  </si>
  <si>
    <t>fucosidase, alpha-L- 2, plasma</t>
  </si>
  <si>
    <t>GO:0003824: catalytic activity, GO:0004560: alpha-L-fucosidase activity, GO:0005575: cellular_component, GO:0005576: extracellular region, GO:0005975: carbohydrate metabolic process, GO:0006004: fucose metabolic process, GO:0008152: metabolic process, GO:0016787: hydrolase activity, GO:0016798: hydrolase activity, acting on glycosyl bonds, GO:0043169: cation binding</t>
  </si>
  <si>
    <t>00511: Other glycan degradation</t>
  </si>
  <si>
    <t>239318_at</t>
  </si>
  <si>
    <t>phosphatidylinositol-specific phospholipase C, X domain containing 3</t>
  </si>
  <si>
    <t>GO:0003674: molecular_function, GO:0004629: phospholipase C activity, GO:0004871: signal transducer activity, GO:0005575: cellular_component, GO:0005622: intracellular, GO:0006629: lipid metabolic process, GO:0007165: signal transduction, GO:0008081: phosphoric diester hydrolase activity, GO:0016042: lipid catabolic process, GO:0016787: hydrolase activity, GO:0035556: intracellular signal transduction</t>
  </si>
  <si>
    <t>20167_at</t>
  </si>
  <si>
    <t>reticulon 2 (Z-band associated protein)</t>
  </si>
  <si>
    <t>GO:0000122: negative regulation of transcription from RNA polymerase II promoter, GO:0001655: urogenital system development, GO:0001656: metanephros development, GO:0001657: ureteric bud development, GO:0001823: mesonephros development, GO:0002062: chondrocyte differentiation, GO:0003676: nucleic acid binding, GO:0005622: intracellular, GO:0005634: nucleus, GO:0005730: nucleolus, GO:0006351: transcription, DNA-dependent, GO:0006355: regulation of transcription, DNA-dependent, GO:0007507: heart development, GO:0008270: zinc ion binding, GO:0008406: gonad development, GO:0010628: positive regulation of gene expression, GO:0030154: cell differentiation, GO:0030501: positive regulation of bone mineralization, GO:0030857: negative regulation of epithelial cell differentiation, GO:0035115: embryonic forelimb morphogenesis, GO:0035116: embryonic hindlimb morphogenesis, GO:0036023: embryonic skeletal limb joint morphogenesis, GO:0042474: middle ear morphogenesis, GO:0042476: odontogenesis, GO:0042733: embryonic digit morphogenesis, GO:0043066: negative regulation of apoptotic process, GO:0045944: positive regulation of transcription from RNA polymerase II promoter, GO:0046872: metal ion binding, GO:0048389: intermediate mesoderm development, GO:0048793: pronephros development, GO:0048863: stem cell differentiation, GO:0050679: positive regulation of epithelial cell proliferation, GO:0060021: palate development, GO:0060272: embryonic skeletal joint morphogenesis, GO:0072075: metanephric mesenchyme development, GO:0072111: cell proliferation involved in kidney development, GO:0072133: metanephric mesenchyme morphogenesis, GO:0072143: mesangial cell development, GO:0072162: metanephric mesenchymal cell differentiation, GO:0072166: posterior mesonephric tubule development, GO:0072168: specification of anterior mesonephric tubule identity, GO:0072169: specification of posterior mesonephric tubule identity, GO:0072180: mesonephric duct morphogenesis, GO:0072183: negative regulation of nephron tubule epithelial cell differentiation, GO:0072184: renal vesicle progenitor cell differentiation, GO:0072190: ureter urothelium development, GO:0072207: metanephric epithelium development, GO:0072208: metanephric smooth muscle tissue development, GO:0072234: metanephric nephron tubule development, GO:0072239: metanephric glomerulus vasculature development, GO:0072259: metanephric interstitial cell development, GO:0072268: pattern specification involved in metanephros development, GO:0072498: embryonic skeletal joint development, GO:0090094: metanephric cap mesenchymal cell proliferation involved in metanephros development, GO:2000543: positive regulation of gastrulation</t>
  </si>
  <si>
    <t>244864_at</t>
  </si>
  <si>
    <t>layilin</t>
  </si>
  <si>
    <t>GO:0005540: hyaluronic acid binding, GO:0016020: membrane, GO:0016021: integral to membrane, GO:0030246: carbohydrate binding</t>
  </si>
  <si>
    <t>212111_at</t>
  </si>
  <si>
    <t>inositol polyphosphate-5-phosphatase A</t>
  </si>
  <si>
    <t>GO:0004445: inositol-polyphosphate 5-phosphatase activity, GO:0016020: membrane, GO:0042731: PH domain binding, GO:0046855: inositol phosphate dephosphorylation</t>
  </si>
  <si>
    <t>00562: Inositol phosphate metabolism, 01100: Metabolic pathways, 04070: Phosphatidylinositol signaling system</t>
  </si>
  <si>
    <t>20319_at</t>
  </si>
  <si>
    <t>secreted frizzled-related protein 2</t>
  </si>
  <si>
    <t>GO:0001569: patterning of blood vessels, GO:0001756: somitogenesis, GO:0001843: neural tube closure, GO:0002063: chondrocyte development, GO:0003151: outflow tract morphogenesis, GO:0003214: cardiac left ventricle morphogenesis, GO:0005515: protein binding, GO:0005576: extracellular region, GO:0005615: extracellular space, GO:0005615: extracellular space, GO:0005737: cytoplasm, GO:0005886: plasma membrane, GO:0006915: apoptotic process, GO:0007165: signal transduction, GO:0007275: multicellular organismal development, GO:0007420: brain development, GO:0008219: cell death, GO:0008284: positive regulation of cell proliferation, GO:0008284: positive regulation of cell proliferation, GO:0008285: negative regulation of cell proliferation, GO:0008584: male gonad development, GO:0009952: anterior/posterior pattern specification, GO:0010577: metalloenzyme activator activity, GO:0010629: negative regulation of gene expression, GO:0010667: negative regulation of cardiac muscle cell apoptotic process, GO:0010719: negative regulation of epithelial to mesenchymal transition, GO:0010950: positive regulation of endopeptidase activity, GO:0016055: Wnt receptor signaling pathway, GO:0017147: Wnt-protein binding, GO:0021915: neural tube development, GO:0030111: regulation of Wnt receptor signaling pathway, GO:0030154: cell differentiation, GO:0030165: PDZ domain binding, GO:0030178: negative regulation of Wnt receptor signaling pathway, GO:0030178: negative regulation of Wnt receptor signaling pathway, GO:0030199: collagen fibril organization, GO:0030307: positive regulation of cell growth, GO:0030308: negative regulation of cell growth, GO:0030336: negative regulation of cell migration, GO:0030514: negative regulation of BMP signaling pathway, GO:0030514: negative regulation of BMP signaling pathway, GO:0031668: cellular response to extracellular stimulus, GO:0033138: positive regulation of peptidyl-serine phosphorylation, GO:0035121: tail morphogenesis, GO:0035413: positive regulation of catenin import into nucleus, GO:0042127: regulation of cell proliferation, GO:0042493: response to drug, GO:0042662: negative regulation of mesodermal cell fate specification, GO:0042733: embryonic digit morphogenesis, GO:0042813: Wnt-activated receptor activity, GO:0042981: regulation of apoptotic process, GO:0043065: positive regulation of apoptotic process, GO:0043066: negative regulation of apoptotic process, GO:0043154: negative regulation of cysteine-type endopeptidase activity involved in apoptotic process, GO:0043508: negative regulation of JUN kinase activity, GO:0045600: positive regulation of fat cell differentiation, GO:0045669: positive regulation of osteoblast differentiation, GO:0045766: positive regulation of angiogenesis, GO:0045768: positive regulation of anti-apoptosis, GO:0045892: negative regulation of transcription, DNA-dependent, GO:0045944: positive regulation of transcription from RNA polymerase II promoter, GO:0046546: development of primary male sexual characteristics, GO:0048018: receptor agonist activity, GO:0048546: digestive tract morphogenesis, GO:0050680: negative regulation of epithelial cell proliferation, GO:0050732: negative regulation of peptidyl-tyrosine phosphorylation, GO:0051216: cartilage development, GO:0060028: convergent extension involved in axis elongation, GO:0060349: bone morphogenesis, GO:0061133: endopeptidase activator activity, GO:0061185: negative regulation of dermatome development, GO:0071425: hemopoietic stem cell proliferation, GO:0071481: cellular response to X-ray, GO:0090090: negative regulation of canonical Wnt receptor signaling pathway, GO:0090090: negative regulation of canonical Wnt receptor signaling pathway, GO:0090090: negative regulation of canonical Wnt receptor signaling pathway, GO:0090175: regulation of establishment of planar polarity, GO:0090179: planar cell polarity pathway involved in neural tube closure, GO:0090244: Wnt receptor signaling pathway involved in somitogenesis, GO:0090263: positive regulation of canonical Wnt receptor signaling pathway, GO:0090263: positive regulation of canonical Wnt receptor signaling pathway, GO:2000035: regulation of stem cell division, GO:2000041: negative regulation of planar cell polarity pathway involved in axis elongation, GO:2000273: positive regulation of receptor activity</t>
  </si>
  <si>
    <t>GO:0001822: kidney development, GO:0003677: DNA binding, GO:0005622: intracellular, GO:0005634: nucleus, GO:0006351: transcription, DNA-dependent, GO:0006355: regulation of transcription, DNA-dependent, GO:0006807: nitrogen compound metabolic process, GO:0008584: male gonad development, GO:0008585: female gonad development, GO:0009791: post-embryonic development, GO:0010761: fibroblast migration, GO:0030325: adrenal gland development, GO:0035264: multicellular organism growth, GO:0044212: transcription regulatory region DNA binding, GO:0045444: fat cell differentiation, GO:0048008: platelet-derived growth factor receptor signaling pathway, GO:0048468: cell development, GO:0048644: muscle organ morphogenesis, GO:0048705: skeletal system morphogenesis, GO:0051091: positive regulation of sequence-specific DNA binding transcription factor activity, GO:0051091: positive regulation of sequence-specific DNA binding transcription factor activity, GO:0060021: palate development, GO:0060325: face morphogenesis, GO:0060612: adipose tissue development, GO:0060613: fat pad development</t>
  </si>
  <si>
    <t>241520_at</t>
  </si>
  <si>
    <t>family with sequence similarity 171, member B</t>
  </si>
  <si>
    <t>667597_at</t>
  </si>
  <si>
    <t>cDNA sequence BC023105</t>
  </si>
  <si>
    <t>74760_at</t>
  </si>
  <si>
    <t>RAB3A interacting protein (rabin3)-like 1</t>
  </si>
  <si>
    <t>GO:0005085: guanyl-nucleotide exchange factor activity, GO:0005575: cellular_component, GO:0017112: Rab guanyl-nucleotide exchange factor activity, GO:0019900: kinase binding, GO:0050790: regulation of catalytic activity</t>
  </si>
  <si>
    <t>104027_at</t>
  </si>
  <si>
    <t>synaptopodin</t>
  </si>
  <si>
    <t>GO:0001725: stress fiber, GO:0003779: actin binding, GO:0005737: cytoplasm, GO:0005856: cytoskeleton, GO:0005886: plasma membrane, GO:0005923: tight junction, GO:0015629: actin cytoskeleton, GO:0015629: actin cytoskeleton, GO:0016020: membrane, GO:0030054: cell junction, GO:0030425: dendrite, GO:0030865: cortical cytoskeleton organization, GO:0032233: positive regulation of actin filament bundle assembly, GO:0042995: cell projection, GO:0043197: dendritic spine, GO:0045202: synapse, GO:0045211: postsynaptic membrane, GO:0051492: regulation of stress fiber assembly</t>
  </si>
  <si>
    <t>14464_at</t>
  </si>
  <si>
    <t>GATA binding protein 5</t>
  </si>
  <si>
    <t>GO:0001158: enhancer sequence-specific DNA binding, GO:0003677: DNA binding, GO:0003700: sequence-specific DNA binding transcription factor activity, GO:0003705: RNA polymerase II distal enhancer sequence-specific DNA binding transcription factor activity, GO:0005515: protein binding, GO:0005634: nucleus, GO:0006351: transcription, DNA-dependent, GO:0006355: regulation of transcription, DNA-dependent, GO:0006357: regulation of transcription from RNA polymerase II promoter, GO:0008270: zinc ion binding, GO:0043565: sequence-specific DNA binding, GO:0044212: transcription regulatory region DNA binding, GO:0044212: transcription regulatory region DNA binding, GO:0045893: positive regulation of transcription, DNA-dependent, GO:0045944: positive regulation of transcription from RNA polymerase II promoter, GO:0046872: metal ion binding, GO:0060575: intestinal epithelial cell differentiation, GO:0071773: cellular response to BMP stimulus</t>
  </si>
  <si>
    <t>14465_at</t>
  </si>
  <si>
    <t>GATA binding protein 6</t>
  </si>
  <si>
    <t>71371_at</t>
  </si>
  <si>
    <t>AT rich interactive domain 5B (MRF1-like)</t>
  </si>
  <si>
    <t>GO:0000122: negative regulation of transcription from RNA polymerase II promoter, GO:0000979: RNA polymerase II core promoter sequence-specific DNA binding, GO:0000981: sequence-specific DNA binding RNA polymerase II transcription factor activity, GO:0001103: RNA polymerase II repressing transcription factor binding, GO:0001158: enhancer sequence-specific DNA binding, GO:0001701: in utero embryonic development, GO:0001889: liver development, GO:0003148: outflow tract septum morphogenesis, GO:0003309: type B pancreatic cell differentiation, GO:0003310: pancreatic A cell differentiation, GO:0003677: DNA binding, GO:0003682: chromatin binding, GO:0003690: double-stranded DNA binding, GO:0003700: sequence-specific DNA binding transcription factor activity, GO:0003700: sequence-specific DNA binding transcription factor activity, GO:0003705: RNA polymerase II distal enhancer sequence-specific DNA binding transcription factor activity, GO:0005515: protein binding, GO:0005634: nucleus, GO:0005634: nucleus, GO:0005667: transcription factor complex, GO:0006351: transcription, DNA-dependent, GO:0006355: regulation of transcription, DNA-dependent, GO:0006357: regulation of transcription from RNA polymerase II promoter, GO:0006366: transcription from RNA polymerase II promoter, GO:0006644: phospholipid metabolic process, GO:0006915: apoptotic process, GO:0007492: endoderm development, GO:0007493: endodermal cell fate determination, GO:0008134: transcription factor binding, GO:0008134: transcription factor binding, GO:0008270: zinc ion binding, GO:0010468: regulation of gene expression, GO:0019901: protein kinase binding, GO:0030513: positive regulation of BMP signaling pathway, GO:0030855: epithelial cell differentiation, GO:0031016: pancreas development, GO:0032911: negative regulation of transforming growth factor beta1 production, GO:0032912: negative regulation of transforming growth factor beta2 production, GO:0035239: tube morphogenesis, GO:0042493: response to drug, GO:0043065: positive regulation of apoptotic process, GO:0043066: negative regulation of apoptotic process, GO:0043565: sequence-specific DNA binding, GO:0043627: response to estrogen stimulus, GO:0044212: transcription regulatory region DNA binding, GO:0045766: positive regulation of angiogenesis, GO:0045892: negative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GO:0045944: positive regulation of transcription from RNA polymerase II promoter, GO:0046872: metal ion binding, GO:0048645: organ formation, GO:0051145: smooth muscle cell differentiation, GO:0055007: cardiac muscle cell differentiation, GO:0055007: cardiac muscle cell differentiation, GO:0060045: positive regulation of cardiac muscle cell proliferation, GO:0060430: lung saccule development, GO:0060486: Clara cell differentiation, GO:0060510: Type II pneumocyte differentiation, GO:0060575: intestinal epithelial cell differentiation, GO:0060947: cardiac vascular smooth muscle cell differentiation, GO:0070848: response to growth factor stimulus, GO:0071158: positive regulation of cell cycle arrest, GO:0071371: cellular response to gonadotropin stimulus, GO:0071456: cellular response to hypoxia, GO:0071773: cellular response to BMP stimulus</t>
  </si>
  <si>
    <t>57246_at</t>
  </si>
  <si>
    <t>T-box 20</t>
  </si>
  <si>
    <t>GO:0000122: negative regulation of transcription from RNA polymerase II promoter, GO:0000977: RNA polymerase II regulatory region sequence-specific DNA binding, GO:0000977: RNA polymerase II regulatory region sequence-specific DNA binding, GO:0001085: RNA polymerase II transcription factor binding, GO:0001102: RNA polymerase II activating transcription factor binding, GO:0001105: RNA polymerase II transcription coactivator activity, GO:0001105: RNA polymerase II transcription coactivator activity, GO:0001569: patterning of blood vessels, GO:0001764: neuron migration, GO:0001947: heart looping, GO:0003148: outflow tract septum morphogenesis, GO:0003148: outflow tract septum morphogenesis, GO:0003151: outflow tract morphogenesis, GO:0003175: tricuspid valve development, GO:0003176: aortic valve development, GO:0003180: aortic valve morphogenesis, GO:0003193: pulmonary valve formation, GO:0003207: cardiac chamber formation, GO:0003215: cardiac right ventricle morphogenesis, GO:0003272: endocardial cushion formation, GO:0003279: cardiac septum development, GO:0003677: DNA binding, GO:0003700: sequence-specific DNA binding transcription factor activity, GO:0003700: sequence-specific DNA binding transcription factor activity, GO:0005515: protein binding, GO:0005634: nucleus, GO:0005737: cytoplasm, GO:0006351: transcription, DNA-dependent, GO:0006355: regulation of transcription, DNA-dependent, GO:0006936: muscle contraction, GO:0008015: blood circulation, GO:0008283: cell proliferation, GO:0009953: dorsal/ventral pattern formation, GO:0010717: regulation of epithelial to mesenchymal transition, GO:0010991: negative regulation of SMAD protein complex assembly, GO:0021524: visceral motor neuron differentiation, GO:0035050: embryonic heart tube development, GO:0035050: embryonic heart tube development, GO:0035922: foramen ovale closure, GO:0045892: negative regulation of transcription, DNA-dependent, GO:0045892: negative regulation of transcription, DNA-dependent, GO:0045893: positive regulation of transcription, DNA-dependent, GO:0045944: positive regulation of transcription from RNA polymerase II promoter, GO:0045944: positive regulation of transcription from RNA polymerase II promoter, GO:0055008: cardiac muscle tissue morphogenesis, GO:0060413: atrial septum morphogenesis, GO:0060577: pulmonary vein morphogenesis</t>
  </si>
  <si>
    <t>13617_at</t>
  </si>
  <si>
    <t>endothelin receptor type A</t>
  </si>
  <si>
    <t>GO:0001569: patterning of blood vessels, GO:0001666: response to hypoxia, GO:0001701: in utero embryonic development, GO:0001821: histamine secretion, GO:0001934: positive regulation of protein phosphorylation, GO:0003094: glomerular filtration, GO:0004871: signal transducer activity, GO:0004930: G-protein coupled receptor activity, GO:0004962: endothelin receptor activity, GO:0004962: endothelin receptor activity, GO:0005515: protein binding, GO:0005886: plasma membrane, GO:0007165: signal transduction, GO:0007186: G-protein coupled receptor signaling pathway, GO:0007204: elevation of cytosolic calcium ion concentration, GO:0007205: protein kinase C-activating G-protein coupled receptor signaling pathway, GO:0007266: Rho protein signal transduction, GO:0007507: heart development, GO:0007585: respiratory gaseous exchange, GO:0008284: positive regulation of cell proliferation, GO:0014032: neural crest cell development, GO:0014824: artery smooth muscle contraction, GO:0015758: glucose transport, GO:0016020: membrane, GO:0016021: integral to membrane, GO:0019233: sensory perception of pain, GO:0030315: T-tubule, GO:0030818: negative regulation of cAMP biosynthetic process, GO:0031965: nuclear membrane, GO:0032496: response to lipopolysaccharide, GO:0042310: vasoconstriction, GO:0042310: vasoconstriction, GO:0042482: positive regulation of odontogenesis, GO:0043066: negative regulation of apoptotic process, GO:0043084: penile erection, GO:0043278: response to morphine, GO:0045121: membrane raft, GO:0048144: fibroblast proliferation, GO:0048659: smooth muscle cell proliferation, GO:0050678: regulation of epithelial cell proliferation, GO:0050729: positive regulation of inflammatory response, GO:0051281: positive regulation of release of sequestered calcium ion into cytosol, GO:0051482: elevation of cytosolic calcium ion concentration involved in phospholipase C-activating G-protein coupled signaling pathway, GO:0051928: positive regulation of calcium ion transport, GO:0060322: head development, GO:0070374: positive regulation of ERK1 and ERK2 cascade, GO:0071260: cellular response to mechanical stimulus, GO:0086100: endothelin receptor signaling pathway, GO:0086100: endothelin receptor signaling pathway, GO:0090023: positive regulation of neutrophil chemotaxis, GO:0090184: positive regulation of kidney development</t>
  </si>
  <si>
    <t>GO:0001501: skeletal system development, GO:0001568: blood vessel development, GO:0005201: extracellular matrix structural constituent, GO:0005515: protein binding, GO:0005576: extracellular region, GO:0005578: proteinaceous extracellular matrix, GO:0005581: collagen, GO:0005584: collagen type I, GO:0005584: collagen type I, GO:0005615: extracellular space, GO:0005622: intracellular, GO:0007179: transforming growth factor beta receptor signaling pathway, GO:0007266: Rho protein signal transduction, GO:0008217: regulation of blood pressure, GO:0030199: collagen fibril organization, GO:0030674: protein binding, bridging, GO:0042802: identical protein binding, GO:0043589: skin morphogenesis, GO:0046332: SMAD binding, GO:0048407: platelet-derived growth factor binding, GO:0070208: protein heterotrimerization, GO:0071230: cellular response to amino acid stimulus</t>
  </si>
  <si>
    <t>21334_at</t>
  </si>
  <si>
    <t>tachykinin 2</t>
  </si>
  <si>
    <t>GO:0005576: extracellular region, GO:0007217: tachykinin receptor signaling pathway, GO:0007218: neuropeptide signaling pathway, GO:0045777: positive regulation of blood pressure</t>
  </si>
  <si>
    <t>72603_at</t>
  </si>
  <si>
    <t>RIKEN cDNA 2700033N17 gene</t>
  </si>
  <si>
    <t>634731_at</t>
  </si>
  <si>
    <t>sushi domain containing 1</t>
  </si>
  <si>
    <t>240776_at</t>
  </si>
  <si>
    <t>potassium channel, subfamily T, member 2</t>
  </si>
  <si>
    <t>GO:0005249: voltage-gated potassium channel activity, GO:0005267: potassium channel activity, GO:0005886: plasma membrane, GO:0006813: potassium ion transport, GO:0008076: voltage-gated potassium channel complex, GO:0015269: calcium-activated potassium channel activity, GO:0034765: regulation of ion transmembrane transport, GO:0071805: potassium ion transmembrane transport, GO:0071805: potassium ion transmembrane transport</t>
  </si>
  <si>
    <t>68070_at</t>
  </si>
  <si>
    <t>PDZ domain containing 2</t>
  </si>
  <si>
    <t>GO:0005576: extracellular region, GO:0005634: nucleus, GO:0005737: cytoplasm, GO:0005783: endoplasmic reticulum, GO:0005911: cell-cell junction, GO:0014069: postsynaptic density, GO:0030054: cell junction, GO:0045177: apical part of cell</t>
  </si>
  <si>
    <t>320174_at</t>
  </si>
  <si>
    <t>RIKEN cDNA A830082K12 gene</t>
  </si>
  <si>
    <t>GO:0005911: cell-cell junction</t>
  </si>
  <si>
    <t>260315_at</t>
  </si>
  <si>
    <t>neuron navigator 3</t>
  </si>
  <si>
    <t>GO:0000166: nucleotide binding, GO:0003674: molecular_function, GO:0005524: ATP binding, GO:0005634: nucleus, GO:0005635: nuclear envelope, GO:0008150: biological_process</t>
  </si>
  <si>
    <t>19228_at</t>
  </si>
  <si>
    <t>parathyroid hormone 1 receptor</t>
  </si>
  <si>
    <t>GO:0001666: response to hypoxia, GO:0003824: catalytic activity, GO:0004252: serine-type endopeptidase activity, GO:0004252: serine-type endopeptidase activity, GO:0005576: extracellular region, GO:0005615: extracellular space, GO:0005615: extracellular space, GO:0005737: cytoplasm, GO:0005737: cytoplasm, GO:0006508: proteolysis, GO:0008152: metabolic process, GO:0008233: peptidase activity, GO:0008236: serine-type peptidase activity, GO:0009986: cell surface, GO:0014909: smooth muscle cell migration, GO:0016787: hydrolase activity, GO:0030141: secretory granule, GO:0031639: plasminogen activation, GO:0035249: synaptic transmission, glutamatergic, GO:0045177: apical part of cell, GO:0045202: synapse, GO:0045861: negative regulation of proteolysis, GO:0048008: platelet-derived growth factor receptor signaling pathway, GO:0048008: platelet-derived growth factor receptor signaling pathway, GO:0060279: positive regulation of ovulation</t>
  </si>
  <si>
    <t>04610: Complement and coagulation cascades</t>
  </si>
  <si>
    <t>12843_at</t>
  </si>
  <si>
    <t>collagen, type I, alpha 2</t>
  </si>
  <si>
    <t>260409_at</t>
  </si>
  <si>
    <t>CDC42 effector protein (Rho GTPase binding) 3</t>
  </si>
  <si>
    <t>GO:0005515: protein binding, GO:0005737: cytoplasm, GO:0005856: cytoskeleton, GO:0008150: biological_process, GO:0008360: regulation of cell shape, GO:0015629: actin cytoskeleton, GO:0016020: membrane</t>
  </si>
  <si>
    <t>18791_at</t>
  </si>
  <si>
    <t>plasminogen activator, tissue</t>
  </si>
  <si>
    <t>GO:0001501: skeletal system development, GO:0001503: ossification, GO:0002062: chondrocyte differentiation, GO:0002062: chondrocyte differentiation, GO:0002076: osteoblast development, GO:0004871: signal transducer activity, GO:0004888: transmembrane signaling receptor activity, GO:0004930: G-protein coupled receptor activity, GO:0004991: parathyroid hormone receptor activity, GO:0004991: parathyroid hormone receptor activity, GO:0004991: parathyroid hormone receptor activity, GO:0005622: intracellular, GO:0005634: nucleus, GO:0005737: cytoplasm, GO:0005886: plasma membrane, GO:0005887: integral to plasma membrane, GO:0006874: cellular calcium ion homeostasis, GO:0007165: signal transduction, GO:0007166: cell surface receptor signaling pathway, GO:0007186: G-protein coupled receptor signaling pathway, GO:0007188: adenylate cyclase-modulating G-protein coupled receptor signaling pathway, GO:0007189: adenylate cyclase-activating G-protein coupled receptor signaling pathway, GO:0007189: adenylate cyclase-activating G-protein coupled receptor signaling pathway, GO:0007200: phospholipase C-activating G-protein coupled receptor signaling pathway, GO:0007204: elevation of cytosolic calcium ion concentration, GO:0008284: positive regulation of cell proliferation, GO:0008285: negative regulation of cell proliferation, GO:0016020: membrane, GO:0016021: integral to membrane, GO:0016323: basolateral plasma membrane, GO:0016324: apical plasma membrane, GO:0017046: peptide hormone binding, GO:0030282: bone mineralization, GO:0031526: brush border membrane, GO:0043235: receptor complex, GO:0043621: protein self-association, GO:0045453: bone resorption, GO:0048469: cell maturation, GO:0060732: positive regulation of inositol phosphate biosynthetic process</t>
  </si>
  <si>
    <t>23871_at</t>
  </si>
  <si>
    <t>E26 avian leukemia oncogene 1, 5' domain</t>
  </si>
  <si>
    <t>04510: Focal adhesion, 04512: ECM-receptor interaction, 04974: Protein digestion and absorption, 05146: Amoebiasis</t>
  </si>
  <si>
    <t>66395_at</t>
  </si>
  <si>
    <t>AHNAK nucleoprotein (desmoyokin)</t>
  </si>
  <si>
    <t>GO:0003677: DNA binding, GO:0003700: sequence-specific DNA binding transcription factor activity, GO:0003700: sequence-specific DNA binding transcription factor activity, GO:0005515: protein binding, GO:0005634: nucleus, GO:0005634: nucleus, GO:0005667: transcription factor complex, GO:0006351: transcription, DNA-dependent, GO:0006355: regulation of transcription, DNA-dependent, GO:0006357: regulation of transcription from RNA polymerase II promoter, GO:0006366: transcription from RNA polymerase II promoter, GO:0006917: induction of apoptosis, GO:0008284: positive regulation of cell proliferation, GO:0010715: regulation of extracellular matrix disassembly, GO:0030335: positive regulation of cell migration, GO:0030578: PML body organization, GO:0043565: sequence-specific DNA binding, GO:0043565: sequence-specific DNA binding, GO:0045648: positive regulation of erythrocyte differentiation, GO:0045766: positive regulation of angiogenesis, GO:0045786: negative regulation of cell cycle,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GO:0046677: response to antibiotic, GO:0048870: cell motility, GO:0051272: positive regulation of cellular component movement</t>
  </si>
  <si>
    <t>04320: Dorso-ventral axis formation, 05211: Renal cell carcinoma</t>
  </si>
  <si>
    <t>16949_at</t>
  </si>
  <si>
    <t>lysyl oxidase-like 1</t>
  </si>
  <si>
    <t>GO:0005507: copper ion binding, GO:0005515: protein binding, GO:0005576: extracellular region, GO:0005578: proteinaceous extracellular matrix, GO:0016491: oxidoreductase activity, GO:0016641: oxidoreductase activity, acting on the CH-NH2 group of donors, oxygen as acceptor, GO:0031012: extracellular matrix, GO:0046872: metal ion binding, GO:0055114: oxidation-reduction process</t>
  </si>
  <si>
    <t>21417_at</t>
  </si>
  <si>
    <t>zinc finger E-box binding homeobox 1</t>
  </si>
  <si>
    <t>GO:0000122: negative regulation of transcription from RNA polymerase II promoter, GO:0000122: negative regulation of transcription from RNA polymerase II promoter, GO:0003676: nucleic acid binding, GO:0003677: DNA binding, GO:0003682: chromatin binding, GO:0003682: chromatin binding, GO:0003690: double-stranded DNA binding, GO:0003700: sequence-specific DNA binding transcription factor activity, GO:0005515: protein binding, GO:0005622: intracellular, GO:0005634: nucleus, GO:0005634: nucleus, GO:0005667: transcription factor complex, GO:0005737: cytoplasm, GO:0006351: transcription, DNA-dependent, GO:0006355: regulation of transcription, DNA-dependent, GO:0007389: pattern specification process, GO:0007399: nervous system development, GO:0007417: central nervous system development, GO:0008134: transcription factor binding, GO:0008270: zinc ion binding, GO:0008285: negative regulation of cell proliferation, GO:0010464: regulation of mesenchymal cell proliferation, GO:0017015: regulation of transforming growth factor beta receptor signaling pathway, GO:0030154: cell differentiation, GO:0030857: negative regulation of epithelial cell differentiation, GO:0033081: regulation of T cell differentiation in thymus, GO:0043565: sequence-specific DNA binding, GO:0045666: positive regulation of neuron differentiation, GO:0045892: negative regulation of transcription, DNA-dependent, GO:0045892: negative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GO:0046872: metal ion binding, GO:0048513: organ development, GO:0048596: embryonic camera-type eye morphogenesis, GO:0048598: embryonic morphogenesis, GO:0048704: embryonic skeletal system morphogenesis, GO:0051150: regulation of smooth muscle cell differentiation, GO:0051216: cartilage development, GO:0070888: E-box binding, GO:0071230: cellular response to amino acid stimulus</t>
  </si>
  <si>
    <t>74646_at</t>
  </si>
  <si>
    <t>splA/ryanodine receptor domain and SOCS box containing 1</t>
  </si>
  <si>
    <t>GO:0005737: cytoplasm, GO:0035556: intracellular signal transduction</t>
  </si>
  <si>
    <t>235130_at</t>
  </si>
  <si>
    <t>a disintegrin-like and metallopeptidase (reprolysin type) with thrombospondin type 1 motif, 15</t>
  </si>
  <si>
    <t>GO:0004222: metalloendopeptidase activity, GO:0005576: extracellular region, GO:0005578: proteinaceous extracellular matrix, GO:0006508: proteolysis, GO:0008233: peptidase activity, GO:0008237: metallopeptidase activity, GO:0008270: zinc ion binding, GO:0016787: hydrolase activity, GO:0031012: extracellular matrix, GO:0046872: metal ion binding</t>
  </si>
  <si>
    <t>22761_at</t>
  </si>
  <si>
    <t>zinc finger protein, multitype 1</t>
  </si>
  <si>
    <t>GO:0000122: negative regulation of transcription from RNA polymerase II promoter, GO:0000122: negative regulation of transcription from RNA polymerase II promoter, GO:0000122: negative regulation of transcription from RNA polymerase II promoter, GO:0000122: negative regulation of transcription from RNA polymerase II promoter, GO:0001078: RNA polymerase II core promoter proximal region sequence-specific DNA binding transcription factor activity involved in negative regulation of transcription, GO:0001085: RNA polymerase II transcription factor binding, GO:0001102: RNA polymerase II activating transcription factor binding, GO:0003151: outflow tract morphogenesis, GO:0003181: atrioventricular valve morphogenesis, GO:0003192: mitral valve formation, GO:0003195: tricuspid valve formation, GO:0003676: nucleic acid binding, GO:0003677: DNA binding, GO:0003714: transcription corepressor activity, GO:0005515: protein binding, GO:0005622: intracellular, GO:0005634: nucleus, GO:0005667: transcription factor complex, GO:0005737: cytoplasm, GO:0006351: transcription, DNA-dependent, GO:0006355: regulation of transcription, DNA-dependent, GO:0007507: heart development, GO:0008134: transcription factor binding, GO:0008270: zinc ion binding, GO:0010724: regulation of definitive erythrocyte differentiation, GO:0017053: transcriptional repressor complex, GO:0030218: erythrocyte differentiation, GO:0030218: erythrocyte differentiation, GO:0030219: megakaryocyte differentiation, GO:0030219: megakaryocyte differentiation, GO:0030220: platelet formation, GO:0030851: granulocyte differentiation, GO:0032091: negative regulation of protein binding, GO:0032642: regulation of chemokine production, GO:0035162: embryonic hemopoiesis, GO:0035855: megakaryocyte development, GO:0045078: positive regulation of interferon-gamma biosynthetic process, GO:0045403: negative regulation of interleukin-4 biosynthetic process, GO:0045599: negative regulation of fat cell differentiation, GO:0045944: positive regulation of transcription from RNA polymerase II promoter, GO:0046872: metal ion binding, GO:0048872: homeostasis of number of cells, GO:0055008: cardiac muscle tissue morphogenesis, GO:0060318: definitive erythrocyte differentiation, GO:0060319: primitive erythrocyte differentiation, GO:0060377: negative regulation of mast cell differentiation, GO:0060412: ventricular septum morphogenesis, GO:0060413: atrial septum morphogenesis, GO:0071733: transcriptional activation by promoter-enhancer looping</t>
  </si>
  <si>
    <t>21803_at</t>
  </si>
  <si>
    <t>transforming growth factor, beta 1</t>
  </si>
  <si>
    <t>GO:0000060: protein import into nucleus, translocation, GO:0000122: negative regulation of transcription from RNA polymerase II promoter, GO:0000122: negative regulation of transcription from RNA polymerase II promoter, GO:0000165: MAPK cascade, GO:0001501: skeletal system development, GO:0001763: morphogenesis of a branching structure, GO:0001837: epithelial to mesenchymal transition, GO:0001933: negative regulation of protein phosphorylation, GO:0001934: positive regulation of protein phosphorylation, GO:0002028: regulation of sodium ion transport, GO:0002062: chondrocyte differentiation, GO:0002244: hemopoietic progenitor cell differentiation, GO:0002460: adaptive immune response based on somatic recombination of immune receptors built from immunoglobulin superfamily domains, GO:0002513: tolerance induction to self antigen, GO:0005114: type II transforming growth factor beta receptor binding, GO:0005160: transforming growth factor beta receptor binding, GO:0005160: transforming growth factor beta receptor binding, GO:0005515: protein binding, GO:0005576: extracellular region, GO:0005578: proteinaceous extracellular matrix, GO:0005615: extracellular space, GO:0005615: extracellular space, GO:0005634: nucleus, GO:0005737: cytoplasm, GO:0006468: protein phosphorylation, GO:0006468: protein phosphorylation, GO:0006611: protein export from nucleus, GO:0006754: ATP biosynthetic process, GO:0006796: phosphate-containing compound metabolic process, GO:0006874: cellular calcium ion homeostasis, GO:0006917: induction of apoptosis, GO:0006952: defense response, GO:0006954: inflammatory response, GO:0006954: inflammatory response, GO:0007050: cell cycle arrest, GO:0007173: epidermal growth factor receptor signaling pathway, GO:0007179: transforming growth factor beta receptor signaling pathway, GO:0007179: transforming growth factor beta receptor signaling pathway, GO:0007183: SMAD protein complex assembly, GO:0007184: SMAD protein import into nucleus, GO:0007406: negative regulation of neuroblast proliferation, GO:0007492: endoderm development, GO:0007519: skeletal muscle tissue development, GO:0008083: growth factor activity, GO:0008156: negative regulation of DNA replication, GO:0008219: cell death, GO:0008283: cell proliferation, GO:0008283: cell proliferation, GO:0008284: positive regulation of cell proliferation, GO:0008284: positive regulation of cell proliferation, GO:0008285: negative regulation of cell proliferation, GO:0008285: negative regulation of cell proliferation, GO:0008354: germ cell migration, GO:0009817: defense response to fungus, incompatible interaction, GO:0009887: organ morphogenesis, GO:0009986: cell surface, GO:0010033: response to organic substance, GO:0010628: positive regulation of gene expression, GO:0010628: positive regulation of gene expression, GO:0010718: positive regulation of epithelial to mesenchymal transition, GO:0010718: positive regulation of epithelial to mesenchymal transition, GO:0010763: positive regulation of fibroblast migration, GO:0010800: positive regulation of peptidyl-threonine phosphorylation, GO:0010862: positive regulation of pathway-restricted SMAD protein phosphorylation, GO:0010936: negative regulation of macrophage cytokine production, GO:0016049: cell growth, GO:0016202: regulation of striated muscle tissue development, GO:0017015: regulation of transforming growth factor beta receptor signaling pathway, GO:0019049: evasion or tolerance of host defenses by virus, GO:0019899: enzyme binding, GO:0022408: negative regulation of cell-cell adhesion, GO:0030141: secretory granule, GO:0030214: hyaluronan catabolic process, GO:0030217: T cell differentiation, GO:0030279: negative regulation of ossification, GO:0030308: negative regulation of cell growth, GO:0030308: negative regulation of cell growth, GO:0030335: positive regulation of cell migration, GO:0030424: axon, GO:0030879: mammary gland development, GO:0031012: extracellular matrix, GO:0031065: positive regulation of histone deacetylation, GO:0031100: organ regeneration, GO:0031334: positive regulation of protein complex assembly, GO:0031536: positive regulation of exit from mitosis, GO:0031575: mitotic cell cycle G1/S transition checkpoint, GO:0031663: lipopolysaccharide-mediated signaling pathway, GO:0032270: positive regulation of cellular protein metabolic process, GO:0032355: response to estradiol stimulus, GO:0032570: response to progesterone stimulus, GO:0032740: positive regulation of interleukin-17 production, GO:0032740: positive regulation of interleukin-17 production, GO:0032801: receptor catabolic process, GO:0032943: mononuclear cell proliferation, GO:0032967: positive regulation of collagen biosynthetic process, GO:0032967: positive regulation of collagen biosynthetic process, GO:0033138: positive regulation of peptidyl-serine phosphorylation, GO:0035066: positive regulation of histone acetylation, GO:0035307: positive regulation of protein dephosphorylation, GO:0040007: growth, GO:0042060: wound healing, GO:0042110: T cell activation, GO:0042110: T cell activation, GO:0042127: regulation of cell proliferation, GO:0042130: negative regulation of T cell proliferation, GO:0042306: regulation of protein import into nucleus, GO:0042307: positive regulation of protein import into nucleus, GO:0042482: positive regulation of odontogenesis, GO:0042552: myelination, GO:0042803: protein homodimerization activity, GO:0043011: myeloid dendritic cell differentiation, GO:0043025: neuronal cell body, GO:0043029: T cell homeostasis, GO:0043065: positive regulation of apoptotic process, GO:0043406: positive regulation of MAP kinase activity, GO:0043491: protein kinase B signaling cascade, GO:0043499: eukaryotic cell surface binding, GO:0043536: positive regulation of blood vessel endothelial cell migration, GO:0043537: negative regulation of blood vessel endothelial cell migration, GO:0043552: positive regulation of phosphatidylinositol 3-kinase activity, GO:0045066: regulatory T cell differentiation, GO:0045066: regulatory T cell differentiation, GO:0045216: cell-cell junction organization, GO:0045599: negative regulation of fat cell differentiation, GO:0045662: negative regulation of myoblast differentiation, GO:0045786: negative regulation of cell cycle, GO:0045892: negative regulation of transcription, DNA-dependent, GO:0045893: positive regulation of transcription, DNA-dependent, GO:0045893: positive regulation of transcription, DNA-dependent, GO:0045930: negative regulation of mitotic cell cycle, GO:0045944: positive regulation of transcription from RNA polymerase II promoter, GO:0045944: positive regulation of transcription from RNA polymerase II promoter, GO:0045944: positive regulation of transcription from RNA polymerase II promoter, GO:0046982: protein heterodimerization activity, GO:0047485: protein N-terminus binding, GO:0048298: positive regulation of isotype switching to IgA isotypes, GO:0048535: lymph node development, GO:0048642: negative regulation of skeletal muscle tissue development, GO:0050679: positive regulation of epithelial cell proliferation, GO:0050680: negative regulation of epithelial cell proliferation, GO:0050714: positive regulation of protein secretion, GO:0050765: negative regulation of phagocytosis, GO:0050777: negative regulation of immune response, GO:0050868: negative regulation of T cell activation, GO:0050921: positive regulation of chemotaxis, GO:0051092: positive regulation of NF-kappaB transcription factor activity, GO:0051098: regulation of binding, GO:0051101: regulation of DNA binding, GO:0051152: positive regulation of smooth muscle cell differentiation, GO:0051280: negative regulation of release of sequestered calcium ion into cytosol, GO:0051781: positive regulation of cell division, GO:0051897: positive regulation of protein kinase B signaling cascade, GO:0060389: pathway-restricted SMAD protein phosphorylation, GO:0060389: pathway-restricted SMAD protein phosphorylation, GO:0060391: positive regulation of SMAD protein import into nucleus, GO:0060744: mammary gland branching involved in thelarche, GO:0060751: branch elongation involved in mammary gland duct branching, GO:0060762: regulation of branching involved in mammary gland duct morphogenesis, GO:0061035: regulation of cartilage development, GO:0070306: lens fiber cell differentiation, GO:0070723: response to cholesterol, GO:0071158: positive regulation of cell cycle arrest, GO:0071363: cellular response to growth factor stimulus, GO:0071407: cellular response to organic cyclic compound, GO:0071549: cellular response to dexamethasone stimulus, GO:0085029: extracellular matrix assembly, GO:0085029: extracellular matrix assembly, GO:0090190: positive regulation of branching involved in ureteric bud morphogenesis, GO:1900126: negative regulation of hyaluronan biosynthetic process</t>
  </si>
  <si>
    <t>04010: MAPK signaling pathway, 04060: Cytokine-cytokine receptor interaction, 04110: Cell cycle, 04144: Endocytosis, 04350: TGF-beta signaling pathway, 04380: Osteoclast differentiation, 04672: Intestinal immune network for IgA production, 05140: Leishmaniasis, 05142: Chagas disease (American trypanosomiasis), 05144: Malaria, 05145: Toxoplasmosis, 05146: Amoebiasis, 05200: Pathways in cancer, 05210: Colorectal cancer, 05211: Renal cell carcinoma, 05212: Pancreatic cancer, 05220: Chronic myeloid leukemia, 05323: Rheumatoid arthritis, 05410: Hypertrophic cardiomyopathy (HCM), 05414: Dilated cardiomyopathy</t>
  </si>
  <si>
    <t>12258_at</t>
  </si>
  <si>
    <t>serine (or cysteine) peptidase inhibitor, clade G, member 1</t>
  </si>
  <si>
    <t>GO:0001848: complement binding, GO:0001869: negative regulation of complement activation, lectin pathway, GO:0004867: serine-type endopeptidase inhibitor activity, GO:0004867: serine-type endopeptidase inhibitor activity, GO:0005576: extracellular region, GO:0005615: extracellular space, GO:0006958: complement activation, classical pathway, GO:0007596: blood coagulation, GO:0007599: hemostasis, GO:0010466: negative regulation of peptidase activity, GO:0010951: negative regulation of endopeptidase activity, GO:0030162: regulation of proteolysis, GO:0030414: peptidase inhibitor activity, GO:0042730: fibrinolysis, GO:0045087: innate immune response</t>
  </si>
  <si>
    <t>74782_at</t>
  </si>
  <si>
    <t>glycosyltransferase 8 domain containing 2</t>
  </si>
  <si>
    <t>GO:0003674: molecular_function, GO:0005575: cellular_component, GO:0008150: biological_process, GO:0008152: metabolic process, GO:0016020: membrane, GO:0016021: integral to membrane, GO:0016740: transferase activity, GO:0016757: transferase activity, transferring glycosyl groups</t>
  </si>
  <si>
    <t>65255_at</t>
  </si>
  <si>
    <t>ankyrin repeat and SOCS box-containing 4</t>
  </si>
  <si>
    <t>GO:0004842: ubiquitin-protein ligase activity, GO:0005622: intracellular, GO:0019899: enzyme binding, GO:0031462: Cul2-RING ubiquitin ligase complex, GO:0031462: Cul2-RING ubiquitin ligase complex, GO:0031466: Cul5-RING ubiquitin ligase complex, GO:0031466: Cul5-RING ubiquitin ligase complex, GO:0031625: ubiquitin protein ligase binding, GO:0035556: intracellular signal transduction, GO:0051865: protein autoubiquitination, GO:2001214: positive regulation of vasculogenesis</t>
  </si>
  <si>
    <t>18214_at</t>
  </si>
  <si>
    <t>discoidin domain receptor family, member 2</t>
  </si>
  <si>
    <t>GO:0000166: nucleotide binding, GO:0001503: ossification, GO:0003416: endochondral bone growth, GO:0004672: protein kinase activity, GO:0004713: protein tyrosine kinase activity, GO:0004714: transmembrane receptor protein tyrosine kinase activity, GO:0005518: collagen binding, GO:0005524: ATP binding, GO:0005886: plasma membrane, GO:0006468: protein phosphorylation, GO:0007155: cell adhesion, GO:0007169: transmembrane receptor protein tyrosine kinase signaling pathway, GO:0008284: positive regulation of cell proliferation, GO:0010763: positive regulation of fibroblast migration, GO:0016020: membrane, GO:0016021: integral to membrane, GO:0016301: kinase activity, GO:0016310: phosphorylation, GO:0016324: apical plasma membrane, GO:0016740: transferase activity, GO:0016772: transferase activity, transferring phosphorus-containing groups, GO:0018108: peptidyl-tyrosine phosphorylation, GO:0030199: collagen fibril organization, GO:0030500: regulation of bone mineralization, GO:0031214: biomineral tissue development, GO:0035988: chondrocyte proliferation, GO:0038062: protein tyrosine kinase collagen receptor activity, GO:0038062: protein tyrosine kinase collagen receptor activity, GO:0038063: collagen-activated tyrosine kinase receptor signaling pathway, GO:0038063: collagen-activated tyrosine kinase receptor signaling pathway, GO:0045669: positive regulation of osteoblast differentiation, GO:0045860: positive regulation of protein kinase activity, GO:0046777: protein autophosphorylation, GO:0048146: positive regulation of fibroblast proliferation, GO:0051091: positive regulation of sequence-specific DNA binding transcription factor activity, GO:0090091: positive regulation of extracellular matrix disassembly</t>
  </si>
  <si>
    <t>56312_at</t>
  </si>
  <si>
    <t>nuclear protein 1</t>
  </si>
  <si>
    <t>GO:0002526: acute inflammatory response, GO:0003682: chromatin binding, GO:0005515: protein binding, GO:0005622: intracellular, GO:0005634: nucleus, GO:0006461: protein complex assembly, GO:0006473: protein acetylation, GO:0008584: male gonad development, GO:0009636: response to toxin, GO:0016049: cell growth, GO:0031401: positive regulation of protein modification process, GO:0035914: skeletal muscle cell differentiation, GO:0042771: DNA damage response, signal transduction by p53 class mediator resulting in induction of apoptosis, GO:0043065: positive regulation of apoptotic process, GO:0045786: negative regulation of cell cycle, GO:0048147: negative regulation of fibroblast proliferation, GO:2000194: regulation of female gonad development</t>
  </si>
  <si>
    <t>13627_at</t>
  </si>
  <si>
    <t>eukaryotic translation elongation factor 1 alpha 1</t>
  </si>
  <si>
    <t>GO:0000166: nucleotide binding, GO:0003746: translation elongation factor activity, GO:0003924: GTPase activity, GO:0005515: protein binding, GO:0005525: GTP binding, GO:0005634: nucleus, GO:0005737: cytoplasm, GO:0006184: GTP catabolic process, GO:0006412: translation, GO:0006414: translational elongation, GO:0019901: protein kinase binding</t>
  </si>
  <si>
    <t>03013: RNA transport</t>
  </si>
  <si>
    <t>18143_at</t>
  </si>
  <si>
    <t>neuronal PAS domain protein 2</t>
  </si>
  <si>
    <t>GO:0003677: DNA binding, GO:0003700: sequence-specific DNA binding transcription factor activity, GO:0004871: signal transducer activity, GO:0005634: nucleus, GO:0005667: transcription factor complex, GO:0005737: cytoplasm, GO:0006351: transcription, DNA-dependent, GO:0006355: regulation of transcription, DNA-dependent, GO:0007165: signal transduction, GO:0042745: circadian sleep/wake cycle, GO:0045475: locomotor rhythm, GO:0045944: positive regulation of transcription from RNA polymerase II promoter, GO:0046983: protein dimerization activity, GO:0048511: rhythmic process, GO:0051879: Hsp90 protein binding</t>
  </si>
  <si>
    <t>04710: Circadian rhythm - mammal</t>
  </si>
  <si>
    <t>14170_at</t>
  </si>
  <si>
    <t>fibroblast growth factor 15</t>
  </si>
  <si>
    <t>GO:0001755: neural crest cell migration, GO:0005104: fibroblast growth factor receptor binding, GO:0005576: extracellular region, GO:0007507: heart development, GO:0008083: growth factor activity, GO:0008284: positive regulation of cell proliferation, GO:0008543: fibroblast growth factor receptor signaling pathway, GO:0046326: positive regulation of glucose import, GO:0046330: positive regulation of JNK cascade, GO:0070374: positive regulation of ERK1 and ERK2 cascade, GO:0070858: negative regulation of bile acid biosynthetic process</t>
  </si>
  <si>
    <t>13601_at</t>
  </si>
  <si>
    <t>extracellular matrix protein 1</t>
  </si>
  <si>
    <t>GO:0001503: ossification, GO:0001525: angiogenesis, GO:0001938: positive regulation of endothelial cell proliferation, GO:0001960: negative regulation of cytokine-mediated signaling pathway, GO:0002020: protease binding, GO:0002828: regulation of type 2 immune response, GO:0004871: signal transducer activity, GO:0005134: interleukin-2 receptor binding, GO:0005576: extracellular region, GO:0005578: proteinaceous extracellular matrix, GO:0005615: extracellular space, GO:0006357: regulation of transcription from RNA polymerase II promoter, GO:0006954: inflammatory response, GO:0007165: signal transduction, GO:0008022: protein C-terminus binding, GO:0010466: negative regulation of peptidase activity, GO:0019899: enzyme binding, GO:0030500: regulation of bone mineralization, GO:0030502: negative regulation of bone mineralization, GO:0031012: extracellular matrix, GO:0031214: biomineral tissue development, GO:0043123: positive regulation of I-kappaB kinase/NF-kappaB cascade, GO:0043236: laminin binding, GO:0045766: positive regulation of angiogenesis, GO:2000404: regulation of T cell migration</t>
  </si>
  <si>
    <t>13479_at</t>
  </si>
  <si>
    <t>dipeptidase 1 (renal)</t>
  </si>
  <si>
    <t>GO:0005886: plasma membrane, GO:0006508: proteolysis, GO:0008233: peptidase activity, GO:0008235: metalloexopeptidase activity, GO:0008237: metallopeptidase activity, GO:0008239: dipeptidyl-peptidase activity, GO:0008270: zinc ion binding, GO:0016020: membrane, GO:0016787: hydrolase activity, GO:0016805: dipeptidase activity, GO:0016999: antibiotic metabolic process, GO:0030336: negative regulation of cell migration, GO:0031225: anchored to membrane, GO:0035690: cellular response to drug, GO:0042995: cell projection, GO:0043027: cysteine-type endopeptidase inhibitor activity involved in apoptotic process, GO:0043066: negative regulation of apoptotic process, GO:0043154: negative regulation of cysteine-type endopeptidase activity involved in apoptotic process, GO:0045177: apical part of cell, GO:0046872: metal ion binding, GO:0050667: homocysteine metabolic process, GO:0070573: metallodipeptidase activity, GO:0072341: modified amino acid binding</t>
  </si>
  <si>
    <t>239606_at</t>
  </si>
  <si>
    <t>solute carrier family 2 (facilitated glucose transporter), member 13</t>
  </si>
  <si>
    <t>GO:0005215: transporter activity, GO:0006810: transport, GO:0016020: membrane, GO:0016021: integral to membrane, GO:0022857: transmembrane transporter activity, GO:0022891: substrate-specific transmembrane transporter activity, GO:0055085: transmembrane transport</t>
  </si>
  <si>
    <t>214112_at</t>
  </si>
  <si>
    <t>NIPA-like domain containing 4</t>
  </si>
  <si>
    <t>GO:0003674: molecular_function, GO:0005575: cellular_component, GO:0006810: transport, GO:0006811: ion transport, GO:0015095: magnesium ion transmembrane transporter activity, GO:0015693: magnesium ion transport, GO:0016020: membrane, GO:0016021: integral to membrane</t>
  </si>
  <si>
    <t>77590_at</t>
  </si>
  <si>
    <t>carbohydrate (N-acetylgalactosamine 4-sulfate 6-O) sulfotransferase 15</t>
  </si>
  <si>
    <t>GO:0005794: Golgi apparatus, GO:0008146: sulfotransferase activity, GO:0008152: metabolic process, GO:0016020: membrane, GO:0016021: integral to membrane, GO:0016740: transferase activity, GO:0019319: hexose biosynthetic process, GO:0050656: 3'-phosphoadenosine 5'-phosphosulfate binding, GO:0050659: N-acetylgalactosamine 4-sulfate 6-O-sulfotransferase activity</t>
  </si>
  <si>
    <t>00532: Glycosaminoglycan biosynthesis - chondroitin sulfate</t>
  </si>
  <si>
    <t>83691_at</t>
  </si>
  <si>
    <t>cysteine-rich secretory protein LCCL domain containing 1</t>
  </si>
  <si>
    <t>20503_at</t>
  </si>
  <si>
    <t>solute carrier family 16 (monocarboxylic acid transporters), member 7</t>
  </si>
  <si>
    <t>GO:0005886: plasma membrane, GO:0006810: transport, GO:0015293: symporter activity, GO:0015355: secondary active monocarboxylate transmembrane transporter activity, GO:0015711: organic anion transport, GO:0015718: monocarboxylic acid transport, GO:0016020: membrane, GO:0016021: integral to membrane, GO:0055085: transmembrane transport</t>
  </si>
  <si>
    <t>27387_at</t>
  </si>
  <si>
    <t>SH2 domain containing 3C</t>
  </si>
  <si>
    <t>GO:0005068: transmembrane receptor protein tyrosine kinase adaptor activity, GO:0005085: guanyl-nucleotide exchange factor activity, GO:0005622: intracellular, GO:0005737: cytoplasm, GO:0007165: signal transduction, GO:0007264: small GTPase mediated signal transduction, GO:0009967: positive regulation of signal transduction, GO:0016020: membrane, GO:0050790: regulation of catalytic activity</t>
  </si>
  <si>
    <t>18552_at</t>
  </si>
  <si>
    <t>proprotein convertase subtilisin/kexin type 5</t>
  </si>
  <si>
    <t>GO:0001822: kidney development, GO:0001822: kidney development, GO:0004175: endopeptidase activity, GO:0004252: serine-type endopeptidase activity, GO:0004252: serine-type endopeptidase activity, GO:0005576: extracellular region, GO:0005615: extracellular space, GO:0005794: Golgi apparatus, GO:0006465: signal peptide processing, GO:0006508: proteolysis, GO:0007507: heart development, GO:0007565: female pregnancy, GO:0007566: embryo implantation, GO:0008233: peptidase activity, GO:0008236: serine-type peptidase activity, GO:0009952: anterior/posterior pattern specification, GO:0009952: anterior/posterior pattern specification, GO:0016020: membrane, GO:0016021: integral to membrane, GO:0016485: protein processing, GO:0016485: protein processing, GO:0016486: peptide hormone processing, GO:0016486: peptide hormone processing, GO:0016787: hydrolase activity, GO:0019067: viral assembly, maturation, egress, and release, GO:0030141: secretory granule, GO:0030323: respiratory tube development, GO:0035108: limb morphogenesis, GO:0042089: cytokine biosynthetic process, GO:0042277: peptide binding, GO:0043043: peptide biosynthetic process, GO:0043043: peptide biosynthetic process, GO:0048566: embryonic digestive tract development, GO:0048566: embryonic digestive tract development, GO:0048706: embryonic skeletal system development, GO:0048706: embryonic skeletal system development</t>
  </si>
  <si>
    <t>105827_at</t>
  </si>
  <si>
    <t>adhesion molecule with Ig like domain 2</t>
  </si>
  <si>
    <t>GO:0003674: molecular_function, GO:0005634: nucleus, GO:0005886: plasma membrane, GO:0006916: anti-apoptosis, GO:0007155: cell adhesion, GO:0007156: homophilic cell adhesion, GO:0007156: homophilic cell adhesion, GO:0007157: heterophilic cell-cell adhesion, GO:0007157: heterophilic cell-cell adhesion, GO:0016020: membrane, GO:0016021: integral to membrane, GO:0043069: negative regulation of programmed cell death, GO:0043069: negative regulation of programmed cell death</t>
  </si>
  <si>
    <t>12826_at</t>
  </si>
  <si>
    <t>collagen, type IV, alpha 1</t>
  </si>
  <si>
    <t>GO:0001525: angiogenesis, GO:0005201: extracellular matrix structural constituent, GO:0005576: extracellular region, GO:0005578: proteinaceous extracellular matrix, GO:0005581: collagen, GO:0005587: collagen type IV, GO:0005604: basement membrane, GO:0007528: neuromuscular junction development, GO:0048407: platelet-derived growth factor binding, GO:0071230: cellular response to amino acid stimulus</t>
  </si>
  <si>
    <t>17313_at</t>
  </si>
  <si>
    <t>matrix Gla protein</t>
  </si>
  <si>
    <t>GO:0001503: ossification, GO:0005509: calcium ion binding, GO:0005576: extracellular region, GO:0005615: extracellular space, GO:0005783: endoplasmic reticulum, GO:0006461: protein complex assembly, GO:0007275: multicellular organismal development, GO:0030154: cell differentiation, GO:0030324: lung development, GO:0030500: regulation of bone mineralization, GO:0031012: extracellular matrix, GO:0043234: protein complex, GO:0048306: calcium-dependent protein binding, GO:0048754: branching morphogenesis of a tube, GO:0051216: cartilage development</t>
  </si>
  <si>
    <t>18754_at</t>
  </si>
  <si>
    <t>protein kinase C, epsilon</t>
  </si>
  <si>
    <t>GO:0000139: Golgi membrane, GO:0000166: nucleotide binding, GO:0002281: macrophage activation involved in immune response, GO:0003785: actin monomer binding, GO:0004672: protein kinase activity, GO:0004674: protein serine/threonine kinase activity, GO:0004697: protein kinase C activity, GO:0004699: calcium-independent protein kinase C activity, GO:0005515: protein binding, GO:0005524: ATP binding, GO:0005634: nucleus, GO:0005737: cytoplasm, GO:0005737: cytoplasm, GO:0005739: mitochondrion, GO:0005739: mitochondrion, GO:0005783: endoplasmic reticulum, GO:0005794: Golgi apparatus, GO:0005829: cytosol, GO:0005829: cytosol, GO:0005856: cytoskeleton, GO:0005886: plasma membrane, GO:0006468: protein phosphorylation, GO:0006468: protein phosphorylation, GO:0007049: cell cycle, GO:0007155: cell adhesion, GO:0007635: chemosensory behavior, GO:0008047: enzyme activator activity, GO:0010634: positive regulation of epithelial cell migration, GO:0010763: positive regulation of fibroblast migration, GO:0010811: positive regulation of cell-substrate adhesion, GO:0010811: positive regulation of cell-substrate adhesion, GO:0010917: negative regulation of mitochondrial membrane potential, GO:0016020: membrane, GO:0016301: kinase activity, GO:0016310: phosphorylation, GO:0016740: transferase activity, GO:0016772: transferase activity, transferring phosphorus-containing groups, GO:0017124: SH3 domain binding, GO:0019216: regulation of lipid metabolic process, GO:0019899: enzyme binding, GO:0019901: protein kinase binding, GO:0030546: receptor activator activity, GO:0030838: positive regulation of actin filament polymerization, GO:0031663: lipopolysaccharide-mediated signaling pathway, GO:0032024: positive regulation of insulin secretion, GO:0032230: positive regulation of synaptic transmission, GABAergic, GO:0035276: ethanol binding, GO:0035556: intracellular signal transduction, GO:0035641: locomotory exploration behavior, GO:0035669: TRAM-dependent toll-like receptor 4 signaling pathway, GO:0043066: negative regulation of apoptotic process, GO:0043085: positive regulation of catalytic activity, GO:0043123: positive regulation of I-kappaB kinase/NF-kappaB cascade, GO:0043278: response to morphine, GO:0043410: positive regulation of MAPK cascade, GO:0043410: positive regulation of MAPK cascade, GO:0046872: metal ion binding, GO:0048471: perinuclear region of cytoplasm, GO:0050730: regulation of peptidyl-tyrosine phosphorylation, GO:0050996: positive regulation of lipid catabolic process, GO:0051209: release of sequestered calcium ion into cytosol, GO:0051280: negative regulation of release of sequestered calcium ion into cytosol, GO:0051301: cell division, GO:0051562: reduction of mitochondrial calcium ion concentration, GO:0061178: regulation of insulin secretion involved in cellular response to glucose stimulus, GO:0070257: positive regulation of mucus secretion, GO:0071361: cellular response to ethanol, GO:0071456: cellular response to hypoxia, GO:0071777: positive regulation of cell cycle cytokinesis, GO:0071889: 14-3-3 protein binding, GO:0071944: cell periphery, GO:0090303: positive regulation of wound healing, GO:2000273: positive regulation of receptor activity, GO:2001031: positive regulation of cellular glucuronidation</t>
  </si>
  <si>
    <t>GO:0001527: microfibril, GO:0004222: metalloendopeptidase activity, GO:0005515: protein binding, GO:0005576: extracellular region, GO:0005578: proteinaceous extracellular matrix, GO:0008152: metabolic process, GO:0008233: peptidase activity, GO:0016787: hydrolase activity, GO:0031012: extracellular matrix, GO:0048251: elastic fiber assembly</t>
  </si>
  <si>
    <t>108150_at</t>
  </si>
  <si>
    <t>UDP-N-acetyl-alpha-D-galactosamine: polypeptide N-acetylgalactosaminyltransferase 7</t>
  </si>
  <si>
    <t>GO:0005509: calcium ion binding, GO:0005576: extracellular region, GO:0005615: extracellular space, GO:0005737: cytoplasm, GO:0007155: cell adhesion, GO:0008022: protein C-terminus binding, GO:0030198: extracellular matrix organization, GO:0031012: extracellular matrix, GO:0034394: protein localization to cell surface, GO:0048251: elastic fiber assembly, GO:0071953: elastic fiber, GO:2000121: regulation of removal of superoxide radicals</t>
  </si>
  <si>
    <t>723899_at</t>
  </si>
  <si>
    <t>microRNA 365-1</t>
  </si>
  <si>
    <t>GO:0070482: response to oxygen levels, GO:0071230: cellular response to amino acid stimulus</t>
  </si>
  <si>
    <t>433938_at</t>
  </si>
  <si>
    <t>meningioma 1</t>
  </si>
  <si>
    <t>GO:0001957: intramembranous ossification</t>
  </si>
  <si>
    <t>114774_at</t>
  </si>
  <si>
    <t>PRKC, apoptosis, WT1, regulator</t>
  </si>
  <si>
    <t>04270: Vascular smooth muscle contraction, 04530: Tight junction, 04664: Fc epsilon RI signaling pathway, 04666: Fc gamma R-mediated phagocytosis, 04930: Type II diabetes mellitus</t>
  </si>
  <si>
    <t>67896_at</t>
  </si>
  <si>
    <t>coiled-coil domain containing 80</t>
  </si>
  <si>
    <t>GO:0003779: actin binding, GO:0005515: protein binding, GO:0005634: nucleus, GO:0005634: nucleus, GO:0005737: cytoplasm, GO:0005737: cytoplasm, GO:0005884: actin filament, GO:0005886: plasma membrane, GO:0006351: transcription, DNA-dependent, GO:0006355: regulation of transcription, DNA-dependent, GO:0006915: apoptotic process, GO:0006917: induction of apoptosis, GO:0019899: enzyme binding, GO:0030889: negative regulation of B cell proliferation, GO:0042094: interleukin-2 biosynthetic process, GO:0042130: negative regulation of T cell proliferation, GO:0042986: positive regulation of amyloid precursor protein biosynthetic process, GO:0043522: leucine zipper domain binding, GO:0050860: negative regulation of T cell receptor signaling pathway, GO:0051017: actin filament bundle assembly</t>
  </si>
  <si>
    <t>263406_at</t>
  </si>
  <si>
    <t>pleckstrin homology domain containing, family G (with RhoGef domain) member 3</t>
  </si>
  <si>
    <t>GO:0003674: molecular_function, GO:0005089: Rho guanyl-nucleotide exchange factor activity, GO:0005543: phospholipid binding, GO:0005575: cellular_component, GO:0005622: intracellular, GO:0008150: biological_process, GO:0035023: regulation of Rho protein signal transduction, GO:0050790: regulation of catalytic activity</t>
  </si>
  <si>
    <t>13614_at</t>
  </si>
  <si>
    <t>endothelin 1</t>
  </si>
  <si>
    <t>GO:0000166: nucleotide binding, GO:0000287: magnesium ion binding, GO:0004672: protein kinase activity, GO:0004674: protein serine/threonine kinase activity, GO:0005524: ATP binding, GO:0005634: nucleus, GO:0006468: protein phosphorylation, GO:0016301: kinase activity, GO:0016310: phosphorylation, GO:0016740: transferase activity, GO:0016772: transferase activity, transferring phosphorus-containing groups, GO:0046872: metal ion binding</t>
  </si>
  <si>
    <t>207596_at</t>
  </si>
  <si>
    <t>thrombospondin, type I, domain containing 4</t>
  </si>
  <si>
    <t>GO:0004653: polypeptide N-acetylgalactosaminyltransferase activity, GO:0005794: Golgi apparatus, GO:0006493: protein O-linked glycosylation, GO:0008152: metabolic process, GO:0016020: membrane, GO:0016021: integral to membrane, GO:0016740: transferase activity, GO:0016757: transferase activity, transferring glycosyl groups</t>
  </si>
  <si>
    <t>14190_at</t>
  </si>
  <si>
    <t>fibrinogen-like protein 2</t>
  </si>
  <si>
    <t>GO:0005102: receptor binding, GO:0005576: extracellular region, GO:0005615: extracellular space, GO:0007165: signal transduction, GO:0019835: cytolysis</t>
  </si>
  <si>
    <t>100861843_at</t>
  </si>
  <si>
    <t>uncharacterized LOC100861843</t>
  </si>
  <si>
    <t>23876_at</t>
  </si>
  <si>
    <t>fibulin 5</t>
  </si>
  <si>
    <t>GO:0001968: fibronectin binding, GO:0005539: glycosaminoglycan binding, GO:0005576: extracellular region, GO:0005578: proteinaceous extracellular matrix, GO:0005604: basement membrane, GO:0005614: interstitial matrix, GO:0008201: heparin binding, GO:0010811: positive regulation of cell-substrate adhesion, GO:0030198: extracellular matrix organization, GO:0031012: extracellular matrix</t>
  </si>
  <si>
    <t>223254_at</t>
  </si>
  <si>
    <t>FERM, RhoGEF (Arhgef) and pleckstrin domain protein 1 (chondrocyte-derived)</t>
  </si>
  <si>
    <t>GO:0003674: molecular_function, GO:0005575: cellular_component, GO:0010923: negative regulation of phosphatase activity</t>
  </si>
  <si>
    <t>20623_at</t>
  </si>
  <si>
    <t>SNF related kinase</t>
  </si>
  <si>
    <t>GO:0000122: negative regulation of transcription from RNA polymerase II promoter, GO:0001501: skeletal system development, GO:0001516: prostaglandin biosynthetic process, GO:0001569: patterning of blood vessels, GO:0001666: response to hypoxia, GO:0001701: in utero embryonic development, GO:0001821: histamine secretion, GO:0003100: regulation of systemic arterial blood pressure by endothelin, GO:0005102: receptor binding, GO:0005125: cytokine activity, GO:0005179: hormone activity, GO:0005515: protein binding, GO:0005576: extracellular region, GO:0005615: extracellular space, GO:0005615: extracellular space, GO:0005737: cytoplasm, GO:0006885: regulation of pH, GO:0007166: cell surface receptor signaling pathway, GO:0007186: G-protein coupled receptor signaling pathway, GO:0007186: G-protein coupled receptor signaling pathway, GO:0007204: elevation of cytosolic calcium ion concentration, GO:0007205: protein kinase C-activating G-protein coupled receptor signaling pathway, GO:0007243: intracellular protein kinase cascade, GO:0007267: cell-cell signaling, GO:0007507: heart development, GO:0007585: respiratory gaseous exchange, GO:0007589: body fluid secretion, GO:0008217: regulation of blood pressure, GO:0008217: regulation of blood pressure, GO:0008284: positive regulation of cell proliferation, GO:0008284: positive regulation of cell proliferation, GO:0009953: dorsal/ventral pattern formation, GO:0010460: positive regulation of heart rate, GO:0010613: positive regulation of cardiac muscle hypertrophy, GO:0010870: positive regulation of receptor biosynthetic process, GO:0014032: neural crest cell development, GO:0014065: phosphatidylinositol 3-kinase cascade, GO:0014824: artery smooth muscle contraction, GO:0014826: vein smooth muscle contraction, GO:0015758: glucose transport, GO:0016049: cell growth, GO:0019229: regulation of vasoconstriction, GO:0019233: sensory perception of pain, GO:0019722: calcium-mediated signaling, GO:0030072: peptide hormone secretion, GO:0030185: nitric oxide transport, GO:0030335: positive regulation of cell migration, GO:0030818: negative regulation of cAMP biosynthetic process, GO:0030818: negative regulation of cAMP biosynthetic process, GO:0031583: phospholipase D-activating G-protein coupled receptor signaling pathway, GO:0031707: endothelin A receptor binding, GO:0031707: endothelin A receptor binding, GO:0031708: endothelin B receptor binding, GO:0032269: negative regulation of cellular protein metabolic process, GO:0034392: negative regulation of smooth muscle cell apoptotic process, GO:0035810: positive regulation of urine volume, GO:0035810: positive regulation of urine volume, GO:0035815: positive regulation of renal sodium excretion, GO:0042045: epithelial fluid transport, GO:0042310: vasoconstriction, GO:0042313: protein kinase C deactivation, GO:0042474: middle ear morphogenesis, GO:0042482: positive regulation of odontogenesis, GO:0042554: superoxide anion generation, GO:0043179: rhythmic excitation, GO:0043406: positive regulation of MAP kinase activity, GO:0043507: positive regulation of JUN kinase activity, GO:0045793: positive regulation of cell size, GO:0045840: positive regulation of mitosis, GO:0045987: positive regulation of smooth muscle contraction, GO:0045987: positive regulation of smooth muscle contraction, GO:0046887: positive regulation of hormone secretion, GO:0046888: negative regulation of hormone secretion, GO:0048016: inositol phosphate-mediated signaling, GO:0048514: blood vessel morphogenesis, GO:0048661: positive regulation of smooth muscle cell proliferation, GO:0050880: regulation of blood vessel size, GO:0051216: cartilage development, GO:0051482: elevation of cytosolic calcium ion concentration involved in phospholipase C-activating G-protein coupled signaling pathway, GO:0051771: negative regulation of nitric-oxide synthase biosynthetic process, GO:0051899: membrane depolarization, GO:0051930: regulation of sensory perception of pain, GO:0060298: positive regulation of sarcomere organization, GO:0060585: positive regulation of prostaglandin-endoperoxide synthase activity, GO:0090023: positive regulation of neutrophil chemotaxis</t>
  </si>
  <si>
    <t>GO:0005515: protein binding, GO:0005634: nucleus, GO:0005737: cytoplasm, GO:0090090: negative regulation of canonical Wnt receptor signaling pathway, GO:0090090: negative regulation of canonical Wnt receptor signaling pathway, GO:2000096: positive regulation of Wnt receptor signaling pathway, planar cell polarity pathway</t>
  </si>
  <si>
    <t>13395_at</t>
  </si>
  <si>
    <t>distal-less homeobox 5</t>
  </si>
  <si>
    <t>04916: Melanogenesis</t>
  </si>
  <si>
    <t>19122_at</t>
  </si>
  <si>
    <t>prion protein</t>
  </si>
  <si>
    <t>GO:0001933: negative regulation of protein phosphorylation, GO:0005507: copper ion binding, GO:0005507: copper ion binding, GO:0005515: protein binding, GO:0005634: nucleus, GO:0005730: nucleolus, GO:0005737: cytoplasm, GO:0005783: endoplasmic reticulum, GO:0005794: Golgi apparatus, GO:0005886: plasma membrane, GO:0005886: plasma membrane, GO:0006139: nucleobase-containing compound metabolic process, GO:0006878: cellular copper ion homeostasis, GO:0006916: anti-apoptosis, GO:0006979: response to oxidative stress, GO:0007611: learning or memory, GO:0008017: microtubule binding, GO:0015631: tubulin binding, GO:0016020: membrane, GO:0031225: anchored to membrane, GO:0032689: negative regulation of interferon-gamma production, GO:0032700: negative regulation of interleukin-17 production, GO:0032703: negative regulation of interleukin-2 production, GO:0042802: identical protein binding, GO:0043008: ATP-dependent protein binding, GO:0043066: negative regulation of apoptotic process, GO:0043231: intracellular membrane-bounded organelle, GO:0043433: negative regulation of sequence-specific DNA binding transcription factor activity, GO:0045121: membrane raft, GO:0045121: membrane raft, GO:0046007: negative regulation of activated T cell proliferation, GO:0046686: response to cadmium ion, GO:0046688: response to copper ion, GO:0046872: metal ion binding, GO:0050860: negative regulation of T cell receptor signaling pathway, GO:0051087: chaperone binding, GO:0051260: protein homooligomerization, GO:0070885: negative regulation of calcineurin-NFAT signaling cascade</t>
  </si>
  <si>
    <t>GO:0000976: transcription regulatory region sequence-specific DNA binding, GO:0001503: ossification, GO:0001649: osteoblast differentiation, GO:0001958: endochondral ossification, GO:0003677: DNA binding, GO:0003700: sequence-specific DNA binding transcription factor activity, GO:0005515: protein binding, GO:0005634: nucleus, GO:0005634: nucleus, GO:0005737: cytoplasm, GO:0006351: transcription, DNA-dependent, GO:0006355: regulation of transcription, DNA-dependent, GO:0007275: multicellular organismal development, GO:0007409: axonogenesis, GO:0007411: axon guidance, GO:0008283: cell proliferation, GO:0030326: embryonic limb morphogenesis, GO:0030855: epithelial cell differentiation, GO:0042472: inner ear morphogenesis, GO:0042472: inner ear morphogenesis, GO:0043565: sequence-specific DNA binding, GO:0043583: ear development, GO:0044212: transcription regulatory region DNA binding, GO:0044212: transcription regulatory region DNA binding, GO:0045669: positive regulation of osteoblast differentiation, GO:0045893: positive regulation of transcription, DNA-dependent, GO:0045893: positive regulation of transcription, DNA-dependent, GO:0045944: positive regulation of transcription from RNA polymerase II promoter, GO:0048646: anatomical structure formation involved in morphogenesis, GO:0050679: positive regulation of epithelial cell proliferation, GO:0060021: palate development, GO:0060021: palate development, GO:0060166: olfactory pit development, GO:0060322: head development, GO:0060325: face morphogenesis, GO:0060349: bone morphogenesis, GO:0071837: HMG box domain binding, GO:0090263: positive regulation of canonical Wnt receptor signaling pathway</t>
  </si>
  <si>
    <t>269831_at</t>
  </si>
  <si>
    <t>tetraspanin 12</t>
  </si>
  <si>
    <t>GO:0001525: angiogenesis, GO:0005886: plasma membrane, GO:0005887: integral to plasma membrane, GO:0007166: cell surface receptor signaling pathway, GO:0010842: retina layer formation, GO:0016020: membrane, GO:0016021: integral to membrane, GO:0045765: regulation of angiogenesis</t>
  </si>
  <si>
    <t>108116_at</t>
  </si>
  <si>
    <t>solute carrier organic anion transporter family, member 3a1</t>
  </si>
  <si>
    <t>GO:0005215: transporter activity, GO:0005886: plasma membrane, GO:0005887: integral to plasma membrane, GO:0006810: transport, GO:0006811: ion transport, GO:0006857: oligopeptide transport, GO:0008514: organic anion transmembrane transporter activity, GO:0009925: basal plasma membrane, GO:0009986: cell surface, GO:0015198: oligopeptide transporter activity, GO:0015711: organic anion transport, GO:0015732: prostaglandin transport, GO:0016020: membrane, GO:0016021: integral to membrane, GO:0016324: apical plasma membrane</t>
  </si>
  <si>
    <t>11826_at</t>
  </si>
  <si>
    <t>aquaporin 1</t>
  </si>
  <si>
    <t>05020: Prion diseases</t>
  </si>
  <si>
    <t>77521_at</t>
  </si>
  <si>
    <t>microtubule associated tumor suppressor candidate 2</t>
  </si>
  <si>
    <t>GO:0005737: cytoplasm, GO:0005856: cytoskeleton, GO:0005874: microtubule, GO:0008017: microtubule binding, GO:0042803: protein homodimerization activity</t>
  </si>
  <si>
    <t>140577_at</t>
  </si>
  <si>
    <t>ankyrin repeat domain 6</t>
  </si>
  <si>
    <t>GO:0003094: glomerular filtration, GO:0003097: renal water transport, GO:0005215: transporter activity, GO:0005223: intracellular cGMP activated cation channel activity, GO:0005267: potassium channel activity, GO:0005372: water transmembrane transporter activity, GO:0005372: water transmembrane transporter activity, GO:0005623: cell, GO:0005634: nucleus, GO:0005737: cytoplasm, GO:0005886: plasma membrane, GO:0005886: plasma membrane, GO:0005887: integral to plasma membrane, GO:0005903: brush border, GO:0005903: brush border, GO:0006182: cGMP biosynthetic process, GO:0006810: transport, GO:0006813: potassium ion transport, GO:0006833: water transport, GO:0006833: water transport, GO:0006833: water transport, GO:0006833: water transport, GO:0006833: water transport, GO:0006884: cell volume homeostasis, GO:0009925: basal plasma membrane, GO:0010592: positive regulation of lamellipodium assembly, GO:0010634: positive regulation of epithelial cell migration, GO:0015079: potassium ion transmembrane transporter activity, GO:0015168: glycerol transmembrane transporter activity, GO:0015250: water channel activity, GO:0015250: water channel activity, GO:0015670: carbon dioxide transport, GO:0015696: ammonium transport, GO:0015793: glycerol transport, GO:0016020: membrane, GO:0016021: integral to membrane, GO:0016323: basolateral plasma membrane, GO:0016323: basolateral plasma membrane, GO:0016324: apical plasma membrane, GO:0016324: apical plasma membrane, GO:0019233: sensory perception of pain, GO:0019725: cellular homeostasis, GO:0020003: symbiont-containing vacuole, GO:0022857: transmembrane transporter activity, GO:0030104: water homeostasis, GO:0030184: nitric oxide transmembrane transporter activity, GO:0030185: nitric oxide transport, GO:0030335: positive regulation of cell migration, GO:0030950: establishment or maintenance of actin cytoskeleton polarity, GO:0031526: brush border membrane, GO:0031965: nuclear membrane, GO:0032127: dense core granule membrane, GO:0032809: neuronal cell body membrane, GO:0032940: secretion by cell, GO:0033267: axon part, GO:0033363: secretory granule organization, GO:0033554: cellular response to stress, GO:0034644: cellular response to UV, GO:0035377: transepithelial water transport, GO:0035378: carbon dioxide transmembrane transport, GO:0035379: carbon dioxide transmembrane transporter activity, GO:0042060: wound healing, GO:0042383: sarcolemma, GO:0042493: response to drug, GO:0043005: neuron projection, GO:0043066: negative regulation of apoptotic process, GO:0043154: negative regulation of cysteine-type endopeptidase activity involved in apoptotic process, GO:0043679: axon terminus, GO:0044241: lipid digestion, GO:0045177: apical part of cell, GO:0045766: positive regulation of angiogenesis, GO:0046875: ephrin receptor binding, GO:0046878: positive regulation of saliva secretion, GO:0048146: positive regulation of fibroblast proliferation, GO:0048593: camera-type eye morphogenesis, GO:0051458: corticotropin secretion, GO:0051739: ammonia transmembrane transporter activity, GO:0055085: transmembrane transport, GO:0070062: extracellular vesicular exosome, GO:0070295: renal water absorption, GO:0070295: renal water absorption, GO:0070301: cellular response to hydrogen peroxide, GO:0071241: cellular response to inorganic substance, GO:0071260: cellular response to mechanical stimulus, GO:0071280: cellular response to copper ion, GO:0071288: cellular response to mercury ion, GO:0071300: cellular response to retinoic acid, GO:0071320: cellular response to cAMP, GO:0071456: cellular response to hypoxia, GO:0071472: cellular response to salt stress, GO:0071474: cellular hyperosmotic response, GO:0071549: cellular response to dexamethasone stimulus, GO:0071732: cellular response to nitric oxide, GO:0071805: potassium ion transmembrane transport, GO:0071805: potassium ion transmembrane transport, GO:0085018: maintenance of symbiont-containing vacuole via substance secreted by host, GO:0085018: maintenance of symbiont-containing vacuole via substance secreted by host</t>
  </si>
  <si>
    <t>04964: Proximal tubule bicarbonate reclamation, 04976: Bile secretion</t>
  </si>
  <si>
    <t>233733_at</t>
  </si>
  <si>
    <t>UDP-N-acetyl-alpha-D-galactosamine:polypeptide N-acetylgalactosaminyltransferase-like 4</t>
  </si>
  <si>
    <t>GO:0003674: molecular_function, GO:0004653: polypeptide N-acetylgalactosaminyltransferase activity, GO:0005575: cellular_component, GO:0005794: Golgi apparatus, GO:0008150: biological_process, GO:0008152: metabolic process, GO:0016020: membrane, GO:0016021: integral to membrane, GO:0016740: transferase activity, GO:0016757: transferase activity, transferring glycosyl groups</t>
  </si>
  <si>
    <t>56175_at</t>
  </si>
  <si>
    <t>beta-site APP-cleaving enzyme 2</t>
  </si>
  <si>
    <t>GO:0004190: aspartic-type endopeptidase activity, GO:0005768: endosome, GO:0005783: endoplasmic reticulum, GO:0005794: Golgi apparatus, GO:0006508: proteolysis, GO:0006509: membrane protein ectodomain proteolysis, GO:0008233: peptidase activity, GO:0016020: membrane, GO:0016021: integral to membrane, GO:0016787: hydrolase activity, GO:0042985: negative regulation of amyloid precursor protein biosynthetic process</t>
  </si>
  <si>
    <t>20512_at</t>
  </si>
  <si>
    <t>solute carrier family 1 (glial high affinity glutamate transporter), member 3</t>
  </si>
  <si>
    <t>GO:0003333: amino acid transmembrane transport, GO:0005313: L-glutamate transmembrane transporter activity, GO:0005314: high-affinity glutamate transmembrane transporter activity, GO:0005314: high-affinity glutamate transmembrane transporter activity, GO:0005314: high-affinity glutamate transmembrane transporter activity, GO:0005515: protein binding, GO:0005743: mitochondrial inner membrane, GO:0005886: plasma membrane, GO:0005886: plasma membrane, GO:0006536: glutamate metabolic process, GO:0006537: glutamate biosynthetic process, GO:0006810: transport, GO:0006820: anion transport, GO:0006835: dicarboxylic acid transport, GO:0007605: sensory perception of sound, GO:0009416: response to light stimulus, GO:0009449: gamma-aminobutyric acid biosynthetic process, GO:0009611: response to wounding, GO:0009986: cell surface, GO:0010035: response to inorganic substance, GO:0015293: symporter activity, GO:0015813: L-glutamate transport, GO:0015813: L-glutamate transport, GO:0015837: amine transport, GO:0015837: amine transport, GO:0015837: amine transport, GO:0016020: membrane, GO:0016021: integral to membrane, GO:0016323: basolateral plasma membrane, GO:0016595: glutamate binding, GO:0016597: amino acid binding, GO:0017153: sodium:dicarboxylate symporter activity, GO:0021545: cranial nerve development, GO:0031223: auditory behavior, GO:0042493: response to drug, GO:0042995: cell projection, GO:0043005: neuron projection, GO:0043025: neuronal cell body, GO:0043197: dendritic spine, GO:0043200: response to amino acid stimulus, GO:0043205: fibril, GO:0043490: malate-aspartate shuttle, GO:0045202: synapse, GO:0046677: response to antibiotic, GO:0048667: cell morphogenesis involved in neuron differentiation, GO:0050806: positive regulation of synaptic transmission, GO:0050885: neuromuscular process controlling balance, GO:0051938: L-glutamate import, GO:0051938: L-glutamate import, GO:0055085: transmembrane transport, GO:0070779: D-aspartate import, GO:0071436: sodium ion export, GO:0071436: sodium ion export</t>
  </si>
  <si>
    <t>GO:0004222: metalloendopeptidase activity, GO:0005509: calcium ion binding, GO:0005518: collagen binding, GO:0005576: extracellular region, GO:0006508: proteolysis, GO:0007275: multicellular organismal development, GO:0008233: peptidase activity, GO:0008237: metallopeptidase activity, GO:0008270: zinc ion binding, GO:0016787: hydrolase activity, GO:0030154: cell differentiation, GO:0046872: metal ion binding</t>
  </si>
  <si>
    <t>17268_at</t>
  </si>
  <si>
    <t>Meis homeobox 1</t>
  </si>
  <si>
    <t>GO:0004872: receptor activity, GO:0005886: plasma membrane, GO:0007169: transmembrane receptor protein tyrosine kinase signaling pathway, GO:0007399: nervous system development, GO:0016020: membrane, GO:0016167: glial cell-derived neurotrophic factor receptor activity, GO:0019221: cytokine-mediated signaling pathway, GO:0031225: anchored to membrane, GO:0031953: negative regulation of protein autophosphorylation</t>
  </si>
  <si>
    <t>GO:0001525: angiogenesis, GO:0002089: lens morphogenesis in camera-type eye, GO:0003677: DNA binding, GO:0003682: chromatin binding, GO:0003700: sequence-specific DNA binding transcription factor activity, GO:0003705: RNA polymerase II distal enhancer sequence-specific DNA binding transcription factor activity, GO:0005515: protein binding, GO:0005634: nucleus, GO:0005667: transcription factor complex, GO:0006351: transcription, DNA-dependent, GO:0006355: regulation of transcription, DNA-dependent, GO:0006357: regulation of transcription from RNA polymerase II promoter, GO:0006357: regulation of transcription from RNA polymerase II promoter, GO:0007275: multicellular organismal development, GO:0030097: hemopoiesis, GO:0043565: sequence-specific DNA binding, GO:0043565: sequence-specific DNA binding, GO:0045665: negative regulation of neuron differentiation, GO:0046982: protein heterodimerization activity, GO:0048514: blood vessel morphogenesis, GO:0060216: definitive hemopoiesis</t>
  </si>
  <si>
    <t>18933_at</t>
  </si>
  <si>
    <t>paired related homeobox 1</t>
  </si>
  <si>
    <t>17285_at</t>
  </si>
  <si>
    <t>mesenchyme homeobox 1</t>
  </si>
  <si>
    <t>GO:0001757: somite specification, GO:0003677: DNA binding, GO:0003682: chromatin binding, GO:0003700: sequence-specific DNA binding transcription factor activity, GO:0005634: nucleus, GO:0005730: nucleolus, GO:0006355: regulation of transcription, DNA-dependent, GO:0007275: multicellular organismal development, GO:0043565: sequence-specific DNA binding, GO:0045944: positive regulation of transcription from RNA polymerase II promoter, GO:0045944: positive regulation of transcription from RNA polymerase II promoter, GO:0071837: HMG box domain binding</t>
  </si>
  <si>
    <t>21892_at</t>
  </si>
  <si>
    <t>tolloid-like</t>
  </si>
  <si>
    <t>GO:0000122: negative regulation of transcription from RNA polymerase II promoter, GO:0002053: positive regulation of mesenchymal cell proliferation, GO:0003677: DNA binding, GO:0003700: sequence-specific DNA binding transcription factor activity, GO:0005634: nucleus, GO:0006355: regulation of transcription, DNA-dependent, GO:0007275: multicellular organismal development, GO:0030326: embryonic limb morphogenesis, GO:0042472: inner ear morphogenesis, GO:0042474: middle ear morphogenesis, GO:0042474: middle ear morphogenesis, GO:0043565: sequence-specific DNA binding, GO:0045880: positive regulation of smoothened signaling pathway, GO:0048701: embryonic cranial skeleton morphogenesis, GO:0048701: embryonic cranial skeleton morphogenesis, GO:0048704: embryonic skeletal system morphogenesis, GO:0048704: embryonic skeletal system morphogenesis, GO:0048844: artery morphogenesis, GO:0048844: artery morphogenesis, GO:0051216: cartilage development, GO:0051216: cartilage development, GO:0060021: palate development, GO:0071837: HMG box domain binding</t>
  </si>
  <si>
    <t>14586_at</t>
  </si>
  <si>
    <t>glial cell line derived neurotrophic factor family receptor alpha 2</t>
  </si>
  <si>
    <t>GO:0001533: cornified envelope, GO:0001776: leukocyte homeostasis, GO:0001776: leukocyte homeostasis, GO:0002674: negative regulation of acute inflammatory response, GO:0003697: single-stranded DNA binding, GO:0003727: single-stranded RNA binding, GO:0004859: phospholipase inhibitor activity, GO:0005198: structural molecule activity, GO:0005509: calcium ion binding, GO:0005515: protein binding, GO:0005543: phospholipid binding, GO:0005544: calcium-dependent phospholipid binding, GO:0005615: extracellular space, GO:0005634: nucleus, GO:0005737: cytoplasm, GO:0005886: plasma membrane, GO:0005929: cilium, GO:0007049: cell cycle, GO:0007165: signal transduction, GO:0007166: cell surface receptor signaling pathway, GO:0016020: membrane, GO:0018149: peptide cross-linking, GO:0019834: phospholipase A2 inhibitor activity, GO:0030073: insulin secretion, GO:0030216: keratinocyte differentiation, GO:0030674: protein binding, bridging, GO:0031340: positive regulation of vesicle fusion, GO:0031394: positive regulation of prostaglandin biosynthetic process, GO:0031966: mitochondrial membrane, GO:0042127: regulation of cell proliferation, GO:0042383: sarcolemma, GO:0042803: protein homodimerization activity, GO:0042995: cell projection, GO:0043065: positive regulation of apoptotic process, GO:0043066: negative regulation of apoptotic process, GO:0043234: protein complex, GO:0046632: alpha-beta T cell differentiation, GO:0050482: arachidonic acid secretion, GO:0050709: negative regulation of protein secretion, GO:0070301: cellular response to hydrogen peroxide, GO:0071385: cellular response to glucocorticoid stimulus, GO:2000427: positive regulation of apoptotic cell clearance, GO:2000427: positive regulation of apoptotic cell clearance</t>
  </si>
  <si>
    <t>241514_at</t>
  </si>
  <si>
    <t>zinc finger protein 804A</t>
  </si>
  <si>
    <t>GO:0005622: intracellular, GO:0008150: biological_process, GO:0008270: zinc ion binding, GO:0046872: metal ion binding</t>
  </si>
  <si>
    <t>12767_at</t>
  </si>
  <si>
    <t>chemokine (C-X-C motif) receptor 4</t>
  </si>
  <si>
    <t>16952_at</t>
  </si>
  <si>
    <t>annexin A1</t>
  </si>
  <si>
    <t>GO:0001569: patterning of blood vessels, GO:0001667: ameboidal cell migration, GO:0001764: neuron migration, GO:0001764: neuron migration, GO:0002064: epithelial cell development, GO:0003779: actin binding, GO:0004871: signal transducer activity, GO:0004930: G-protein coupled receptor activity, GO:0004950: chemokine receptor activity, GO:0005515: protein binding, GO:0005768: endosome, GO:0005886: plasma membrane, GO:0007165: signal transduction, GO:0007186: G-protein coupled receptor signaling pathway, GO:0007186: G-protein coupled receptor signaling pathway, GO:0007281: germ cell development, GO:0007399: nervous system development, GO:0007420: brain development, GO:0008045: motor axon guidance, GO:0008144: drug binding, GO:0008354: germ cell migration, GO:0009887: organ morphogenesis, GO:0009897: external side of plasma membrane, GO:0009986: cell surface, GO:0016020: membrane, GO:0016021: integral to membrane, GO:0016023: cytoplasmic membrane-bounded vesicle, GO:0016477: cell migration, GO:0016494: C-X-C chemokine receptor activity, GO:0019722: calcium-mediated signaling, GO:0022029: telencephalon cell migration, GO:0030334: regulation of cell migration, GO:0030334: regulation of cell migration, GO:0030426: growth cone, GO:0031252: cell leading edge, GO:0031410: cytoplasmic vesicle, GO:0031625: ubiquitin protein ligase binding, GO:0032027: myosin light chain binding, GO:0042098: T cell proliferation, GO:0043067: regulation of programmed cell death, GO:0043130: ubiquitin binding, GO:0043217: myelin maintenance, GO:0048714: positive regulation of oligodendrocyte differentiation, GO:0050920: regulation of chemotaxis, GO:0051924: regulation of calcium ion transport, GO:0060048: cardiac muscle contraction, GO:0070098: chemokine-mediated signaling pathway</t>
  </si>
  <si>
    <t>04060: Cytokine-cytokine receptor interaction, 04062: Chemokine signaling pathway, 04144: Endocytosis, 04360: Axon guidance, 04670: Leukocyte transendothelial migration, 04672: Intestinal immune network for IgA production</t>
  </si>
  <si>
    <t>320183_at</t>
  </si>
  <si>
    <t>GO:0000318: protein-methionine-R-oxide reductase activity, GO:0000318: protein-methionine-R-oxide reductase activity, GO:0005739: mitochondrion, GO:0005739: mitochondrion, GO:0005783: endoplasmic reticulum, GO:0005783: endoplasmic reticulum, GO:0008113: peptide-methionine-(S)-S-oxide reductase activity, GO:0008270: zinc ion binding, GO:0008270: zinc ion binding, GO:0016491: oxidoreductase activity, GO:0030091: protein repair, GO:0030091: protein repair, GO:0046872: metal ion binding, GO:0055114: oxidation-reduction process</t>
  </si>
  <si>
    <t>13179_at</t>
  </si>
  <si>
    <t>decorin</t>
  </si>
  <si>
    <t>GO:0005518: collagen binding, GO:0005539: glycosaminoglycan binding, GO:0005576: extracellular region, GO:0005578: proteinaceous extracellular matrix, GO:0005589: collagen type VI, GO:0005615: extracellular space, GO:0019800: peptide cross-linking via chondroitin 4-sulfate glycosaminoglycan, GO:0031012: extracellular matrix, GO:0047485: protein N-terminus binding, GO:0050840: extracellular matrix binding</t>
  </si>
  <si>
    <t>64706_at</t>
  </si>
  <si>
    <t>signal peptide, CUB domain, EGF-like 1</t>
  </si>
  <si>
    <t>GO:0005509: calcium ion binding, GO:0005576: extracellular region, GO:0005886: plasma membrane, GO:0009897: external side of plasma membrane, GO:0009986: cell surface, GO:0016020: membrane, GO:0046982: protein heterodimerization activity, GO:0051260: protein homooligomerization</t>
  </si>
  <si>
    <t>22240_at</t>
  </si>
  <si>
    <t>dihydropyrimidinase-like 3</t>
  </si>
  <si>
    <t>GO:0005615: extracellular space, GO:0005737: cytoplasm, GO:0005829: cytosol, GO:0006208: pyrimidine nucleobase catabolic process, GO:0007399: nervous system development, GO:0010976: positive regulation of neuron projection development, GO:0010977: negative regulation of neuron projection development, GO:0016787: hydrolase activity, GO:0016810: hydrolase activity, acting on carbon-nitrogen (but not peptide) bonds, GO:0016812: hydrolase activity, acting on carbon-nitrogen (but not peptide) bonds, in cyclic amides, GO:0017124: SH3 domain binding, GO:0030027: lamellipodium, GO:0030336: negative regulation of cell migration, GO:0030426: growth cone, GO:0031941: filamentous actin, GO:0035374: chondroitin sulfate binding, GO:0042995: cell projection, GO:0044297: cell body, GO:0051017: actin filament bundle assembly, GO:0051219: phosphoprotein binding, GO:0051260: protein homooligomerization, GO:0051491: positive regulation of filopodium assembly, GO:0051764: actin crosslink formation, GO:0070382: exocytic vesicle</t>
  </si>
  <si>
    <t>268902_at</t>
  </si>
  <si>
    <t>roundabout homolog 2 (Drosophila)</t>
  </si>
  <si>
    <t>GO:0001656: metanephros development, GO:0001657: ureteric bud development, GO:0005515: protein binding, GO:0007156: homophilic cell adhesion, GO:0007165: signal transduction, GO:0007411: axon guidance, GO:0007411: axon guidance, GO:0008046: axon guidance receptor activity, GO:0009986: cell surface, GO:0030673: axolemma, GO:0042802: identical protein binding, GO:0046982: protein heterodimerization activity, GO:0050772: positive regulation of axonogenesis, GO:0050925: negative regulation of negative chemotaxis</t>
  </si>
  <si>
    <t>232441_at</t>
  </si>
  <si>
    <t>RAS-like, estrogen-regulated, growth-inhibitor</t>
  </si>
  <si>
    <t>methionine sulfoxide reductase B3</t>
  </si>
  <si>
    <t>GO:0000166: nucleotide binding, GO:0003924: GTPase activity, GO:0005525: GTP binding, GO:0005622: intracellular, GO:0005634: nucleus, GO:0005737: cytoplasm, GO:0005829: cytosol, GO:0006184: GTP catabolic process, GO:0007165: signal transduction, GO:0007264: small GTPase mediated signal transduction, GO:0008285: negative regulation of cell proliferation, GO:0009725: response to hormone stimulus, GO:0016020: membrane, GO:0030308: negative regulation of cell growth</t>
  </si>
  <si>
    <t>70417_at</t>
  </si>
  <si>
    <t>multiple EGF-like-domains 10</t>
  </si>
  <si>
    <t>GO:0001891: phagocytic cup, GO:0003674: molecular_function, GO:0005886: plasma membrane, GO:0006909: phagocytosis, GO:0007155: cell adhesion, GO:0007517: muscle organ development, GO:0014719: satellite cell activation, GO:0014816: satellite cell differentiation, GO:0014816: satellite cell differentiation, GO:0014841: satellite cell proliferation, GO:0016020: membrane, GO:0016021: integral to membrane, GO:0034109: homotypic cell-cell adhesion, GO:0042995: cell projection, GO:0043654: recognition of apoptotic cell, GO:0043654: recognition of apoptotic cell, GO:0048641: regulation of skeletal muscle tissue development, GO:0051147: regulation of muscle cell differentiation, GO:0055001: muscle cell development</t>
  </si>
  <si>
    <t>11475_at</t>
  </si>
  <si>
    <t>actin, alpha 2, smooth muscle, aorta</t>
  </si>
  <si>
    <t>GO:0000166: nucleotide binding, GO:0005524: ATP binding, GO:0005737: cytoplasm, GO:0005737: cytoplasm, GO:0005856: cytoskeleton, GO:0008217: regulation of blood pressure, GO:0014829: vascular smooth muscle contraction, GO:0015629: actin cytoskeleton, GO:0015629: actin cytoskeleton, GO:0030485: smooth muscle contractile fiber</t>
  </si>
  <si>
    <t>22160_at</t>
  </si>
  <si>
    <t>twist homolog 1 (Drosophila)</t>
  </si>
  <si>
    <t>GO:0000122: negative regulation of transcription from RNA polymerase II promoter, GO:0000122: negative regulation of transcription from RNA polymerase II promoter, GO:0000981: sequence-specific DNA binding RNA polymerase II transcription factor activity, GO:0001077: RNA polymerase II core promoter proximal region sequence-specific DNA binding transcription factor activity involved in positive regulation of transcription, GO:0001503: ossification, GO:0001649: osteoblast differentiation, GO:0001701: in utero embryonic development, GO:0001764: neuron migration, GO:0001843: neural tube closure, GO:0003180: aortic valve morphogenesis, GO:0003180: aortic valve morphogenesis, GO:0003183: mitral valve morphogenesis, GO:0003203: endocardial cushion morphogenesis, GO:0003253: cardiac neural crest cell migration involved in outflow tract morphogenesis, GO:0003677: DNA binding, GO:0003700: sequence-specific DNA binding transcription factor activity, GO:0005634: nucleus, GO:0005634: nucleus, GO:0006351: transcription, DNA-dependent, GO:0006355: regulation of transcription, DNA-dependent, GO:0006366: transcription from RNA polymerase II promoter, GO:0006915: apoptotic process, GO:0007275: multicellular organismal development, GO:0007517: muscle organ development, GO:0008134: transcription factor binding, GO:0008134: transcription factor binding, GO:0010628: positive regulation of gene expression, GO:0010718: positive regulation of epithelial to mesenchymal transition, GO:0010718: positive regulation of epithelial to mesenchymal transition, GO:0014067: negative regulation of phosphatidylinositol 3-kinase cascade, GO:0019904: protein domain specific binding, GO:0030154: cell differentiation, GO:0030326: embryonic limb morphogenesis, GO:0030500: regulation of bone mineralization, GO:0032000: positive regulation of fatty acid beta-oxidation, GO:0032720: negative regulation of tumor necrosis factor production, GO:0032760: positive regulation of tumor necrosis factor production, GO:0033128: negative regulation of histone phosphorylation, GO:0035067: negative regulation of histone acetylation, GO:0035115: embryonic forelimb morphogenesis, GO:0035116: embryonic hindlimb morphogenesis, GO:0035137: hindlimb morphogenesis, GO:0035359: negative regulation of peroxisome proliferator activated receptor signaling pathway, GO:0042733: embryonic digit morphogenesis, GO:0042803: protein homodimerization activity, GO:0043066: negative regulation of apoptotic process, GO:0043425: bHLH transcription factor binding, GO:0043433: negative regulation of sequence-specific DNA binding transcription factor activity, GO:0043518: negative regulation of DNA damage response, signal transduction by p53 class mediator, GO:0044092: negative regulation of molecular function, GO:0045596: negative regulation of cell differentiation, GO:0045668: negative regulation of osteoblast differentiation, GO:0045668: negative regulation of osteoblast differentiation, GO:0045843: negative regulation of striated muscle tissue development, GO:0045944: positive regulation of transcription from RNA polymerase II promoter, GO:0045944: positive regulation of transcription from RNA polymerase II promoter, GO:0045944: positive regulation of transcription from RNA polymerase II promoter, GO:0046982: protein heterodimerization activity, GO:0046983: protein dimerization activity, GO:0048642: negative regulation of skeletal muscle tissue development, GO:0048701: embryonic cranial skeleton morphogenesis, GO:0048701: embryonic cranial skeleton morphogenesis, GO:0048701: embryonic cranial skeleton morphogenesis, GO:0048704: embryonic skeletal system morphogenesis, GO:0050679: positive regulation of epithelial cell proliferation, GO:0060363: cranial suture morphogenesis, GO:0060900: embryonic camera-type eye formation, GO:0061029: eyelid development in camera-type eye, GO:0061309: cardiac neural crest cell development involved in outflow tract morphogenesis, GO:0070888: E-box binding, GO:0070888: E-box binding, GO:0070888: E-box binding, GO:0071456: cellular response to hypoxia, GO:0071456: cellular response to hypoxia, GO:0071639: positive regulation of monocyte chemotactic protein-1 production, GO:2000147: positive regulation of cell motility, GO:2000147: positive regulation of cell motility, GO:2000276: negative regulation of oxidative phosphorylation uncoupler activity, GO:2000679: positive regulation of transcription regulatory region DNA binding, GO:2000773: negative regulation of cellular senescence, GO:2000778: positive regulation of interleukin-6 secretion, GO:2000780: negative regulation of double-strand break repair, GO:2000793: cell proliferation involved in heart valve development, GO:2000793: cell proliferation involved in heart valve development, GO:2000802: positive regulation of endocardial cushion to mesenchymal transition involved in heart valve formation</t>
  </si>
  <si>
    <t>GO:0004871: signal transducer activity, GO:0004930: G-protein coupled receptor activity, GO:0005886: plasma membrane, GO:0007165: signal transduction, GO:0007186: G-protein coupled receptor signaling pathway, GO:0007218: neuropeptide signaling pathway, GO:0007268: synaptic transmission, GO:0008188: neuropeptide receptor activity, GO:0008344: adult locomotory behavior, GO:0016020: membrane, GO:0016021: integral to membrane, GO:0016492: G-protein coupled neurotensin receptor activity</t>
  </si>
  <si>
    <t>99543_at</t>
  </si>
  <si>
    <t>olfactomedin-like 3</t>
  </si>
  <si>
    <t>GO:0003674: molecular_function, GO:0005575: cellular_component, GO:0005576: extracellular region, GO:0007275: multicellular organismal development, GO:0008150: biological_process</t>
  </si>
  <si>
    <t>21923_at</t>
  </si>
  <si>
    <t>tenascin C</t>
  </si>
  <si>
    <t>GO:0001968: fibronectin binding, GO:0005102: receptor binding, GO:0005576: extracellular region, GO:0005578: proteinaceous extracellular matrix, GO:0005604: basement membrane, GO:0005614: interstitial matrix, GO:0005615: extracellular space, GO:0007155: cell adhesion, GO:0007165: signal transduction, GO:0007528: neuromuscular junction development, GO:0008284: positive regulation of cell proliferation, GO:0010628: positive regulation of gene expression, GO:0014012: peripheral nervous system axon regeneration, GO:0045545: syndecan binding, GO:0060739: mesenchymal-epithelial cell signaling involved in prostate gland development, GO:0060740: prostate gland epithelium morphogenesis</t>
  </si>
  <si>
    <t>12797_at</t>
  </si>
  <si>
    <t>calponin 1</t>
  </si>
  <si>
    <t>GO:0003779: actin binding, GO:0005516: calmodulin binding, GO:0005856: cytoskeleton, GO:0031032: actomyosin structure organization</t>
  </si>
  <si>
    <t>21345_at</t>
  </si>
  <si>
    <t>transgelin</t>
  </si>
  <si>
    <t>GO:0005737: cytoplasm, GO:0007517: muscle organ development</t>
  </si>
  <si>
    <t>23972_at</t>
  </si>
  <si>
    <t>3'-phosphoadenosine 5'-phosphosulfate synthase 2</t>
  </si>
  <si>
    <t>GO:0000103: sulfate assimilation, GO:0000166: nucleotide binding, GO:0003824: catalytic activity, GO:0004020: adenylylsulfate kinase activity, GO:0004781: sulfate adenylyltransferase (ATP) activity, GO:0005524: ATP binding, GO:0007596: blood coagulation, GO:0008152: metabolic process, GO:0016301: kinase activity, GO:0016310: phosphorylation, GO:0016740: transferase activity, GO:0016779: nucleotidyltransferase activity, GO:0060348: bone development</t>
  </si>
  <si>
    <t>00230: Purine metabolism, 00450: Selenocompound metabolism, 00920: Sulfur metabolism, 01100: Metabolic pathways</t>
  </si>
  <si>
    <t>22418_at</t>
  </si>
  <si>
    <t>wingless-related MMTV integration site 5A</t>
  </si>
  <si>
    <t>56177_at</t>
  </si>
  <si>
    <t>olfactomedin 1</t>
  </si>
  <si>
    <t>GO:0005515: protein binding, GO:0005615: extracellular space, GO:0005783: endoplasmic reticulum, GO:0007275: multicellular organismal development, GO:0051259: protein oligomerization</t>
  </si>
  <si>
    <t>18216_at</t>
  </si>
  <si>
    <t>neurotensin receptor 1</t>
  </si>
  <si>
    <t>GO:0000122: negative regulation of transcription from RNA polymerase II promoter, GO:0000187: activation of MAPK activity, GO:0001667: ameboidal cell migration, GO:0001736: establishment of planar polarity, GO:0001756: somitogenesis, GO:0001843: neural tube closure, GO:0001934: positive regulation of protein phosphorylation, GO:0001938: positive regulation of endothelial cell proliferation, GO:0001947: heart looping, GO:0002009: morphogenesis of an epithelium, GO:0002053: positive regulation of mesenchymal cell proliferation, GO:0002741: positive regulation of cytokine secretion involved in immune response, GO:0003323: type B pancreatic cell development, GO:0003344: pericardium morphogenesis, GO:0003401: axis elongation, GO:0003700: sequence-specific DNA binding transcription factor activity, GO:0005102: receptor binding, GO:0005102: receptor binding, GO:0005109: frizzled binding, GO:0005109: frizzled binding, GO:0005110: frizzled-2 binding, GO:0005115: receptor tyrosine kinase-like orphan receptor binding, GO:0005125: cytokine activity, GO:0005515: protein binding, GO:0005576: extracellular region, GO:0005578: proteinaceous extracellular matrix, GO:0005615: extracellular space, GO:0005615: extracellular space, GO:0005622: intracellular, GO:0005737: cytoplasm, GO:0005886: plasma membrane, GO:0006468: protein phosphorylation, GO:0007165: signal transduction, GO:0007223: Wnt receptor signaling pathway, calcium modulating pathway, GO:0007223: Wnt receptor signaling pathway, calcium modulating pathway, GO:0007223: Wnt receptor signaling pathway, calcium modulating pathway, GO:0007254: JNK cascade, GO:0007257: activation of JUN kinase activity, GO:0007267: cell-cell signaling, GO:0007275: multicellular organismal development, GO:0007411: axon guidance, GO:0007442: hindgut morphogenesis, GO:0007494: midgut development, GO:0008284: positive regulation of cell proliferation, GO:0008284: positive regulation of cell proliferation, GO:0008584: male gonad development, GO:0008595: anterior/posterior axis specification, embryo, GO:0009790: embryo development, GO:0009887: organ morphogenesis, GO:0009950: dorsal/ventral axis specification, GO:0009952: anterior/posterior pattern specification, GO:0009986: cell surface, GO:0010595: positive regulation of endothelial cell migration, GO:0010800: positive regulation of peptidyl-threonine phosphorylation, GO:0010820: positive regulation of T cell chemotaxis, GO:0010976: positive regulation of neuron projection development, GO:0016055: Wnt receptor signaling pathway, GO:0016055: Wnt receptor signaling pathway, GO:0016477: cell migration, GO:0016477: cell migration, GO:0019904: protein domain specific binding, GO:0021891: olfactory bulb interneuron development, GO:0021915: neural tube development, GO:0022409: positive regulation of cell-cell adhesion, GO:0030154: cell differentiation, GO:0030324: lung development, GO:0030326: embryonic limb morphogenesis, GO:0030514: negative regulation of BMP signaling pathway, GO:0030825: positive regulation of cGMP metabolic process, GO:0031012: extracellular matrix, GO:0032148: activation of protein kinase B activity, GO:0032729: positive regulation of interferon-gamma production, GO:0032755: positive regulation of interleukin-6 production, GO:0032755: positive regulation of interleukin-6 production, GO:0033138: positive regulation of peptidyl-serine phosphorylation, GO:0034613: cellular protein localization, GO:0034613: cellular protein localization, GO:0035108: limb morphogenesis, GO:0035121: tail morphogenesis, GO:0035121: tail morphogenesis, GO:0038031: non-canonical Wnt receptor signaling pathway via JNK cascade, GO:0040037: negative regulation of fibroblast growth factor receptor signaling pathway, GO:0042060: wound healing, GO:0042472: inner ear morphogenesis, GO:0042472: inner ear morphogenesis, GO:0042733: embryonic digit morphogenesis, GO:0043032: positive regulation of macrophage activation, GO:0043066: negative regulation of apoptotic process, GO:0043507: positive regulation of JUN kinase activity, GO:0043507: positive regulation of JUN kinase activity, GO:0044212: transcription regulatory region DNA binding, GO:0045080: positive regulation of chemokine biosynthetic process, GO:0045599: negative regulation of fat cell differentiation, GO:0045732: positive regulation of protein catabolic process, GO:0045766: positive regulation of angiogenesis, GO:0045778: positive regulation of ossification, GO:0045836: positive regulation of meiosis, GO:0045892: negative regulation of transcription, DNA-dependent, GO:0045893: positive regulation of transcription, DNA-dependent, GO:0045893: positive regulation of transcription, DNA-dependent, GO:0045944: positive regulation of transcription from RNA polymerase II promoter, GO:0046330: positive regulation of JNK cascade, GO:0046546: development of primary male sexual characteristics, GO:0048146: positive regulation of fibroblast proliferation, GO:0048546: digestive tract morphogenesis, GO:0048706: embryonic skeletal system development, GO:0048806: genitalia development, GO:0048812: neuron projection morphogenesis, GO:0048843: negative regulation of axon extension involved in axon guidance, GO:0048850: hypophysis morphogenesis, GO:0050679: positive regulation of epithelial cell proliferation, GO:0050680: negative regulation of epithelial cell proliferation, GO:0050680: negative regulation of epithelial cell proliferation, GO:0050718: positive regulation of interleukin-1 beta secretion, GO:0050718: positive regulation of interleukin-1 beta secretion, GO:0050729: positive regulation of inflammatory response, GO:0050919: negative chemotaxis, GO:0051092: positive regulation of NF-kappaB transcription factor activity, GO:0051216: cartilage development, GO:0051964: negative regulation of synapse assembly, GO:0060021: palate development, GO:0060026: convergent extension, GO:0060029: convergent extension involved in organogenesis, GO:0060065: uterus development, GO:0060067: cervix development, GO:0060068: vagina development, GO:0060070: canonical Wnt receptor signaling pathway, GO:0060070: canonical Wnt receptor signaling pathway, GO:0060070: canonical Wnt receptor signaling pathway, GO:0060071: Wnt receptor signaling pathway, planar cell polarity pathway, GO:0060071: Wnt receptor signaling pathway, planar cell polarity pathway, GO:0060071: Wnt receptor signaling pathway, planar cell polarity pathway, GO:0060071: Wnt receptor signaling pathway, planar cell polarity pathway, GO:0060157: urinary bladder development, GO:0060324: face development, GO:0060340: positive regulation of type I interferon-mediated signaling pathway, GO:0060599: lateral sprouting involved in mammary gland duct morphogenesis, GO:0060606: tube closure, GO:0060638: mesenchymal-epithelial cell signaling, GO:0060686: negative regulation of prostatic bud formation, GO:0060744: mammary gland branching involved in thelarche, GO:0060750: epithelial cell proliferation involved in mammary gland duct elongation, GO:0060760: positive regulation of response to cytokine stimulus, GO:0060762: regulation of branching involved in mammary gland duct morphogenesis, GO:0060762: regulation of branching involved in mammary gland duct morphogenesis, GO:0060907: positive regulation of macrophage cytokine production, GO:0061036: positive regulation of cartilage development, GO:0061036: positive regulation of cartilage development, GO:0061347: planar cell polarity pathway involved in outflow tract morphogenesis, GO:0061348: planar cell polarity pathway involved in ventricular septum morphogenesis, GO:0061349: planar cell polarity pathway involved in cardiac right atrium morphogenesis, GO:0061350: planar cell polarity pathway involved in cardiac muscle tissue morphogenesis, GO:0061354: planar cell polarity pathway involved in pericardium morphogenesis, GO:0070245: positive regulation of thymocyte apoptotic process, GO:0071219: cellular response to molecule of bacterial origin, GO:0071425: hemopoietic stem cell proliferation, GO:0071425: hemopoietic stem cell proliferation, GO:0071425: hemopoietic stem cell proliferation, GO:0071542: dopaminergic neuron differentiation, GO:0071542: dopaminergic neuron differentiation, GO:0072201: negative regulation of mesenchymal cell proliferation, GO:0090009: primitive streak formation, GO:0090037: positive regulation of protein kinase C signaling cascade, GO:0090090: negative regulation of canonical Wnt receptor signaling pathway, GO:0090090: negative regulation of canonical Wnt receptor signaling pathway, GO:0090090: negative regulation of canonical Wnt receptor signaling pathway, GO:0090090: negative regulation of canonical Wnt receptor signaling pathway, GO:0090103: cochlea morphogenesis, GO:0090103: cochlea morphogenesis, GO:0090179: planar cell polarity pathway involved in neural tube closure, GO:2000049: positive regulation of cell-cell adhesion mediated by cadherin, GO:2000484: positive regulation of interleukin-8 secretion</t>
  </si>
  <si>
    <t>GO:0001508: regulation of action potential, GO:0002027: regulation of heart rate, GO:0005216: ion channel activity, GO:0005244: voltage-gated ion channel activity, GO:0005245: voltage-gated calcium channel activity, GO:0005262: calcium channel activity, GO:0005515: protein binding, GO:0005886: plasma membrane, GO:0005886: plasma membrane, GO:0006810: transport, GO:0006811: ion transport, GO:0006816: calcium ion transport, GO:0007204: elevation of cytosolic calcium ion concentration, GO:0007268: synaptic transmission, GO:0008332: low voltage-gated calcium channel activity, GO:0008332: low voltage-gated calcium channel activity, GO:0010045: response to nickel cation, GO:0014824: artery smooth muscle contraction, GO:0016020: membrane, GO:0016021: integral to membrane, GO:0030425: dendrite, GO:0034765: regulation of ion transmembrane transport, GO:0043025: neuronal cell body, GO:0045956: positive regulation of calcium ion-dependent exocytosis, GO:0048471: perinuclear region of cytoplasm, GO:0051929: positive regulation of calcium ion transport via voltage-gated calcium channel activity, GO:0060371: regulation of atrial cardiomyocyte membrane depolarization, GO:0070588: calcium ion transmembrane transport</t>
  </si>
  <si>
    <t>04010: MAPK signaling pathway, 04020: Calcium signaling pathway, 04930: Type II diabetes mellitus</t>
  </si>
  <si>
    <t>55983_at</t>
  </si>
  <si>
    <t>PDZ domain containing RING finger 3</t>
  </si>
  <si>
    <t>GO:0004842: ubiquitin-protein ligase activity, GO:0005515: protein binding, GO:0007528: neuromuscular junction development, GO:0008152: metabolic process, GO:0008270: zinc ion binding, GO:0016567: protein ubiquitination, GO:0016874: ligase activity, GO:0031594: neuromuscular junction, GO:0046872: metal ion binding</t>
  </si>
  <si>
    <t>20257_at</t>
  </si>
  <si>
    <t>stathmin-like 2</t>
  </si>
  <si>
    <t>GO:0005515: protein binding, GO:0005737: cytoplasm, GO:0005768: endosome, GO:0005794: Golgi apparatus, GO:0007026: negative regulation of microtubule depolymerization, GO:0010976: positive regulation of neuron projection development, GO:0010977: negative regulation of neuron projection development, GO:0016020: membrane, GO:0030426: growth cone, GO:0030426: growth cone, GO:0031115: negative regulation of microtubule polymerization, GO:0031117: positive regulation of microtubule depolymerization, GO:0031982: vesicle, GO:0035556: intracellular signal transduction, GO:0042995: cell projection, GO:0048471: perinuclear region of cytoplasm</t>
  </si>
  <si>
    <t>109828_at</t>
  </si>
  <si>
    <t>complement component 7</t>
  </si>
  <si>
    <t>GO:0006883: cellular sodium ion homeostasis</t>
  </si>
  <si>
    <t>04610: Complement and coagulation cascades, 05020: Prion diseases, 05322: Systemic lupus erythematosus</t>
  </si>
  <si>
    <t>18389_at</t>
  </si>
  <si>
    <t>opioid receptor-like 1</t>
  </si>
  <si>
    <t>GO:0001626: nociceptin receptor activity, GO:0004871: signal transducer activity, GO:0004930: G-protein coupled receptor activity, GO:0004985: opioid receptor activity, GO:0005886: plasma membrane, GO:0007165: signal transduction, GO:0007186: G-protein coupled receptor signaling pathway, GO:0007204: elevation of cytosolic calcium ion concentration, GO:0016020: membrane, GO:0016021: integral to membrane, GO:0038003: opioid receptor signaling pathway</t>
  </si>
  <si>
    <t>14681_at</t>
  </si>
  <si>
    <t>guanine nucleotide binding protein, alpha O</t>
  </si>
  <si>
    <t>12291_at</t>
  </si>
  <si>
    <t>calcium channel, voltage-dependent, T type, alpha 1G subunit</t>
  </si>
  <si>
    <t>GO:0000166: nucleotide binding, GO:0003924: GTPase activity, GO:0003924: GTPase activity, GO:0003924: GTPase activity, GO:0004871: signal transducer activity, GO:0005515: protein binding, GO:0005525: GTP binding, GO:0005525: GTP binding, GO:0005622: intracellular, GO:0005834: heterotrimeric G-protein complex, GO:0005834: heterotrimeric G-protein complex, GO:0006184: GTP catabolic process, GO:0007165: signal transduction, GO:0007186: G-protein coupled receptor signaling pathway, GO:0007186: G-protein coupled receptor signaling pathway, GO:0007186: G-protein coupled receptor signaling pathway, GO:0007188: adenylate cyclase-modulating G-protein coupled receptor signaling pathway, GO:0007212: dopamine receptor signaling pathway, GO:0007568: aging, GO:0007626: locomotory behavior, GO:0008016: regulation of heart contraction, GO:0009987: cellular process, GO:0010243: response to organic nitrogen, GO:0016020: membrane, GO:0019001: guanyl nucleotide binding, GO:0031234: extrinsic to internal side of plasma membrane, GO:0031683: G-protein beta/gamma-subunit complex binding, GO:0031821: G-protein coupled serotonin receptor binding, GO:0031821: G-protein coupled serotonin receptor binding, GO:0031852: mu-type opioid receptor binding, GO:0032403: protein complex binding, GO:0043234: protein complex, GO:0043547: positive regulation of GTPase activity, GO:0046872: metal ion binding, GO:0051430: corticotropin-releasing hormone receptor 1 binding, GO:0051926: negative regulation of calcium ion transport</t>
  </si>
  <si>
    <t>04730: Long-term depression, 04916: Melanogenesis, 05142: Chagas disease (American trypanosomiasis), 05145: Toxoplasmosis</t>
  </si>
  <si>
    <t>14456_at</t>
  </si>
  <si>
    <t>growth arrest specific 6</t>
  </si>
  <si>
    <t>GO:0001764: neuron migration, GO:0001786: phosphatidylserine binding, GO:0001934: positive regulation of protein phosphorylation, GO:0001961: positive regulation of cytokine-mediated signaling pathway, GO:0003104: positive regulation of glomerular filtration, GO:0005102: receptor binding, GO:0005245: voltage-gated calcium channel activity, GO:0005509: calcium ion binding, GO:0005576: extracellular region, GO:0005615: extracellular space, GO:0005615: extracellular space, GO:0005622: intracellular, GO:0005622: intracellular, GO:0005622: intracellular, GO:0005737: cytoplasm, GO:0006468: protein phosphorylation, GO:0006909: phagocytosis, GO:0007165: signal transduction, GO:0007167: enzyme linked receptor protein signaling pathway, GO:0007596: blood coagulation, GO:0009267: cellular response to starvation, GO:0010628: positive regulation of gene expression, GO:0010804: negative regulation of tumor necrosis factor-mediated signaling pathway, GO:0010934: macrophage cytokine production, GO:0018105: peptidyl-serine phosphorylation, GO:0019064: viral entry into host cell via membrane fusion with the plasma membrane, GO:0019079: viral genome replication, GO:0030296: protein tyrosine kinase activator activity, GO:0030971: receptor tyrosine kinase binding, GO:0031589: cell-substrate adhesion, GO:0032008: positive regulation of TOR signaling cascade, GO:0032148: activation of protein kinase B activity, GO:0032689: negative regulation of interferon-gamma production, GO:0032715: negative regulation of interleukin-6 production, GO:0032720: negative regulation of tumor necrosis factor production, GO:0032825: positive regulation of natural killer cell differentiation, GO:0033138: positive regulation of peptidyl-serine phosphorylation, GO:0033159: negative regulation of protein import into nucleus, translocation, GO:0035457: cellular response to interferon-alpha, GO:0035690: cellular response to drug, GO:0035754: B cell chemotaxis, GO:0040008: regulation of growth, GO:0043027: cysteine-type endopeptidase inhibitor activity involved in apoptotic process, GO:0043066: negative regulation of apoptotic process, GO:0043066: negative regulation of apoptotic process, GO:0043066: negative regulation of apoptotic process, GO:0043066: negative regulation of apoptotic process, GO:0043154: negative regulation of cysteine-type endopeptidase activity involved in apoptotic process, GO:0043277: apoptotic cell clearance, GO:0043277: apoptotic cell clearance, GO:0043433: negative regulation of sequence-specific DNA binding transcription factor activity, GO:0043491: protein kinase B signaling cascade, GO:0043491: protein kinase B signaling cascade, GO:0043491: protein kinase B signaling cascade, GO:0045860: positive regulation of protein kinase activity, GO:0045892: negative regulation of transcription, DNA-dependent, GO:0046718: viral entry into host cell, GO:0046813: virion attachment, binding of host cell surface receptor, GO:0046827: positive regulation of protein export from nucleus, GO:0046872: metal ion binding, GO:0048018: receptor agonist activity, GO:0048018: receptor agonist activity, GO:0048146: positive regulation of fibroblast proliferation, GO:0050711: negative regulation of interleukin-1 secretion, GO:0050766: positive regulation of phagocytosis, GO:0051897: positive regulation of protein kinase B signaling cascade, GO:0051925: regulation of calcium ion transport via voltage-gated calcium channel activity, GO:0060090: binding, bridging, GO:0061098: positive regulation of protein tyrosine kinase activity, GO:0070168: negative regulation of biomineral tissue development, GO:0070374: positive regulation of ERK1 and ERK2 cascade, GO:0070588: calcium ion transmembrane transport, GO:0071307: cellular response to vitamin K, GO:0071333: cellular response to glucose stimulus, GO:0071363: cellular response to growth factor stimulus, GO:0071363: cellular response to growth factor stimulus, GO:0072661: protein targeting to plasma membrane, GO:0097241: hematopoietic stem cell migration to bone marrow, GO:1900142: negative regulation of oligodendrocyte apoptotic process, GO:1900165: negative regulation of interleukin-6 secretion, GO:2000270: negative regulation of fibroblast apoptotic process, GO:2000273: positive regulation of receptor activity, GO:2000273: positive regulation of receptor activity, GO:2000352: negative regulation of endothelial cell apoptotic process, GO:2000510: positive regulation of dendritic cell chemotaxis, GO:2000669: negative regulation of dendritic cell apoptotic process</t>
  </si>
  <si>
    <t>GO:0000122: negative regulation of transcription from RNA polymerase II promoter, GO:0000976: transcription regulatory region sequence-specific DNA binding, GO:0001085: RNA polymerase II transcription factor binding, GO:0001106: RNA polymerase II transcription corepressor activity, GO:0001756: somitogenesis, GO:0002053: positive regulation of mesenchymal cell proliferation, GO:0003163: sinoatrial node development, GO:0003677: DNA binding, GO:0003700: sequence-specific DNA binding transcription factor activity, GO:0005515: protein binding, GO:0005634: nucleus, GO:0006351: transcription, DNA-dependent, GO:0006355: regulation of transcription, DNA-dependent, GO:0007605: sensory perception of sound, GO:0009948: anterior/posterior axis specification, GO:0016331: morphogenesis of embryonic epithelium, GO:0022409: positive regulation of cell-cell adhesion, GO:0030154: cell differentiation, GO:0042803: protein homodimerization activity, GO:0046982: protein heterodimerization activity, GO:0048646: anatomical structure formation involved in morphogenesis, GO:0050679: positive regulation of epithelial cell proliferation, GO:0051145: smooth muscle cell differentiation, GO:0060829: negative regulation of canonical Wnt receptor signaling pathway involved in neural plate anterior/posterior pattern formation, GO:0070722: Tle3-Aes complex, GO:0090103: cochlea morphogenesis, GO:2000729: positive regulation of mesenchymal cell proliferation involved in ureter development</t>
  </si>
  <si>
    <t>26968_at</t>
  </si>
  <si>
    <t>immunoglobulin superfamily containing leucine-rich repeat</t>
  </si>
  <si>
    <t>GO:0005576: extracellular region</t>
  </si>
  <si>
    <t>320078_at</t>
  </si>
  <si>
    <t>olfactomedin-like 2B</t>
  </si>
  <si>
    <t>GO:0003779: actin binding, GO:0005575: cellular_component, GO:0016043: cellular component organization, GO:0017048: Rho GTPase binding, GO:0030036: actin cytoskeleton organization</t>
  </si>
  <si>
    <t>101401_at</t>
  </si>
  <si>
    <t>a disintegrin-like and metallopeptidase (reprolysin type) with thrombospondin type 1 motif, 9</t>
  </si>
  <si>
    <t>94212_at</t>
  </si>
  <si>
    <t>phosphoprotein associated with glycosphingolipid microdomains 1</t>
  </si>
  <si>
    <t>GO:0004721: phosphoprotein phosphatase activity, GO:0004725: protein tyrosine phosphatase activity, GO:0005102: receptor binding, GO:0005515: protein binding, GO:0006470: protein dephosphorylation, GO:0007157: heterophilic cell-cell adhesion, GO:0016020: membrane, GO:0016021: integral to membrane, GO:0016311: dephosphorylation, GO:0016787: hydrolase activity, GO:0016791: phosphatase activity, GO:0030182: neuron differentiation, GO:0035335: peptidyl-tyrosine dephosphorylation, GO:0050775: positive regulation of dendrite morphogenesis, GO:0050839: cell adhesion molecule binding, GO:0097105: presynaptic membrane assembly</t>
  </si>
  <si>
    <t>11745_at</t>
  </si>
  <si>
    <t>GO:0005515: protein binding, GO:0005622: intracellular, GO:0005622: intracellular, GO:0005886: plasma membrane, GO:0005886: plasma membrane, GO:0016020: membrane, GO:0016021: integral to membrane, GO:0035556: intracellular signal transduction, GO:0035556: intracellular signal transduction, GO:0042169: SH2 domain binding, GO:0045121: membrane raft, GO:0045121: membrane raft, GO:0050863: regulation of T cell activation, GO:0050863: regulation of T cell activation, GO:0050868: negative regulation of T cell activation</t>
  </si>
  <si>
    <t>30937_at</t>
  </si>
  <si>
    <t>LIM and cysteine-rich domains 1</t>
  </si>
  <si>
    <t>potassium intermediate/small conductance calcium-activated channel, subfamily N, member 3</t>
  </si>
  <si>
    <t>GO:0005737: cytoplasm, GO:0005886: plasma membrane, GO:0005886: plasma membrane, GO:0006813: potassium ion transport, GO:0015269: calcium-activated potassium channel activity, GO:0016286: small conductance calcium-activated potassium channel activity, GO:0071805: potassium ion transmembrane transport</t>
  </si>
  <si>
    <t>20440_at</t>
  </si>
  <si>
    <t>beta galactoside alpha 2,6 sialyltransferase 1</t>
  </si>
  <si>
    <t>annexin A3</t>
  </si>
  <si>
    <t>GO:0000122: negative regulation of transcription from RNA polymerase II promoter, GO:0003714: transcription corepressor activity, GO:0005515: protein binding, GO:0005615: extracellular space, GO:0005634: nucleus, GO:0005737: cytoplasm, GO:0006351: transcription, DNA-dependent, GO:0006355: regulation of transcription, DNA-dependent, GO:0008270: zinc ion binding, GO:0010611: regulation of cardiac muscle hypertrophy, GO:0010611: regulation of cardiac muscle hypertrophy, GO:0046872: metal ion binding, GO:0070886: positive regulation of calcineurin-NFAT signaling cascade, GO:0070886: positive regulation of calcineurin-NFAT signaling cascade, GO:2001141: regulation of RNA biosynthetic process</t>
  </si>
  <si>
    <t>100862129_at</t>
  </si>
  <si>
    <t>uncharacterized LOC100862129</t>
  </si>
  <si>
    <t>19411_at</t>
  </si>
  <si>
    <t>retinoic acid receptor, gamma</t>
  </si>
  <si>
    <t>GO:0003674: molecular_function, GO:0005575: cellular_component, GO:0006810: transport, GO:0006869: lipid transport, GO:0008150: biological_process</t>
  </si>
  <si>
    <t>GO:0003835: beta-galactoside alpha-2,6-sialyltransferase activity, GO:0005576: extracellular region, GO:0005794: Golgi apparatus, GO:0006486: protein glycosylation, GO:0008152: metabolic process, GO:0008152: metabolic process, GO:0008373: sialyltransferase activity, GO:0008373: sialyltransferase activity, GO:0016020: membrane, GO:0016021: integral to membrane, GO:0016740: transferase activity, GO:0016757: transferase activity, transferring glycosyl groups, GO:0030173: integral to Golgi membrane</t>
  </si>
  <si>
    <t>12814_at</t>
  </si>
  <si>
    <t>collagen, type XI, alpha 1</t>
  </si>
  <si>
    <t>78892_at</t>
  </si>
  <si>
    <t>cysteine-rich secretory protein LCCL domain containing 2</t>
  </si>
  <si>
    <t>GO:0005539: glycosaminoglycan binding, GO:0005576: extracellular region, GO:0008201: heparin binding, GO:0030133: transport vesicle, GO:0030198: extracellular matrix organization, GO:0031012: extracellular matrix</t>
  </si>
  <si>
    <t>76365_at</t>
  </si>
  <si>
    <t>T-box18</t>
  </si>
  <si>
    <t>dishevelled associated activator of morphogenesis 2</t>
  </si>
  <si>
    <t>GO:0001502: cartilage condensation, GO:0002063: chondrocyte development, GO:0003007: heart morphogenesis, GO:0003674: molecular_function, GO:0005201: extracellular matrix structural constituent, GO:0005576: extracellular region, GO:0005578: proteinaceous extracellular matrix, GO:0005581: collagen, GO:0005592: collagen type XI, GO:0006029: proteoglycan metabolic process, GO:0007601: visual perception, GO:0007605: sensory perception of sound, GO:0030199: collagen fibril organization, GO:0030199: collagen fibril organization, GO:0031012: extracellular matrix, GO:0031012: extracellular matrix, GO:0042472: inner ear morphogenesis, GO:0048704: embryonic skeletal system morphogenesis, GO:0048705: skeletal system morphogenesis, GO:0050910: detection of mechanical stimulus involved in sensory perception of sound, GO:0051216: cartilage development, GO:0055010: ventricular cardiac muscle tissue morphogenesis</t>
  </si>
  <si>
    <t>76441_at</t>
  </si>
  <si>
    <t>GO:0004175: endopeptidase activity, GO:0005576: extracellular region, GO:0005578: proteinaceous extracellular matrix, GO:0005615: extracellular space, GO:0006508: proteolysis, GO:0006508: proteolysis, GO:0008233: peptidase activity, GO:0008237: metallopeptidase activity, GO:0016787: hydrolase activity, GO:0045636: positive regulation of melanocyte differentiation, GO:0046872: metal ion binding, GO:0048070: regulation of developmental pigmentation</t>
  </si>
  <si>
    <t>19266_at</t>
  </si>
  <si>
    <t>protein tyrosine phosphatase, receptor type, D</t>
  </si>
  <si>
    <t>GO:0005576: extracellular region, GO:0030198: extracellular matrix organization, GO:0031012: extracellular matrix, GO:0042803: protein homodimerization activity, GO:0050840: extracellular matrix binding</t>
  </si>
  <si>
    <t>140493_at</t>
  </si>
  <si>
    <t>GO:0004859: phospholipase inhibitor activity, GO:0005509: calcium ion binding, GO:0005544: calcium-dependent phospholipid binding, GO:0005737: cytoplasm, GO:0005886: plasma membrane, GO:0006909: phagocytosis, GO:0010595: positive regulation of endothelial cell migration, GO:0016020: membrane, GO:0019834: phospholipase A2 inhibitor activity, GO:0030424: axon, GO:0030425: dendrite, GO:0030670: phagocytic vesicle membrane, GO:0042581: specific granule, GO:0042742: defense response to bacterium, GO:0043025: neuronal cell body, GO:0043312: neutrophil degranulation, GO:0045766: positive regulation of angiogenesis, GO:0051054: positive regulation of DNA metabolic process, GO:0051091: positive regulation of sequence-specific DNA binding transcription factor activity</t>
  </si>
  <si>
    <t>74486_at</t>
  </si>
  <si>
    <t>oxysterol binding protein-like 10</t>
  </si>
  <si>
    <t>GO:0000122: negative regulation of transcription from RNA polymerase II promoter, GO:0002063: chondrocyte development, GO:0003417: growth plate cartilage development, GO:0003430: growth plate cartilage chondrocyte growth, GO:0003677: DNA binding, GO:0003677: DNA binding, GO:0003700: sequence-specific DNA binding transcription factor activity, GO:0003707: steroid hormone receptor activity, GO:0003708: retinoic acid receptor activity, GO:0005515: protein binding, GO:0005634: nucleus, GO:0005634: nucleus, GO:0005667: transcription factor complex, GO:0006351: transcription, DNA-dependent, GO:0006355: regulation of transcription, DNA-dependent, GO:0006357: regulation of transcription from RNA polymerase II promoter, GO:0008270: zinc ion binding, GO:0008285: negative regulation of cell proliferation, GO:0009952: anterior/posterior pattern specification, GO:0009952: anterior/posterior pattern specification, GO:0010468: regulation of gene expression, GO:0010628: positive regulation of gene expression, GO:0032331: negative regulation of chondrocyte differentiation, GO:0032526: response to retinoic acid, GO:0035116: embryonic hindlimb morphogenesis, GO:0035264: multicellular organism growth, GO:0043065: positive regulation of apoptotic process, GO:0043068: positive regulation of programmed cell death, GO:0043401: steroid hormone mediated signaling pathway, GO:0043565: sequence-specific DNA binding, GO:0045596: negative regulation of cell differentiation, GO:0045944: positive regulation of transcription from RNA polymerase II promoter, GO:0045944: positive regulation of transcription from RNA polymerase II promoter, GO:0045944: positive regulation of transcription from RNA polymerase II promoter, GO:0046872: metal ion binding, GO:0046965: retinoid X receptor binding, GO:0048048: embryonic eye morphogenesis, GO:0048384: retinoic acid receptor signaling pathway, GO:0048384: retinoic acid receptor signaling pathway, GO:0048384: retinoic acid receptor signaling pathway, GO:0048608: reproductive structure development, GO:0048732: gland development, GO:0060173: limb development, GO:0060348: bone development, GO:0060349: bone morphogenesis, GO:0060349: bone morphogenesis, GO:0060429: epithelium development, GO:0060534: trachea cartilage development, GO:0060740: prostate gland epithelium morphogenesis, GO:0061037: negative regulation of cartilage development, GO:0070384: Harderian gland development</t>
  </si>
  <si>
    <t>GO:0003674: molecular_function, GO:0005575: cellular_component, GO:0005886: plasma membrane, GO:0006810: transport, GO:0008150: biological_process, GO:0015293: symporter activity, GO:0016020: membrane, GO:0016021: integral to membrane, GO:0055085: transmembrane transport</t>
  </si>
  <si>
    <t>71436_at</t>
  </si>
  <si>
    <t>fibronectin leucine rich transmembrane protein 3</t>
  </si>
  <si>
    <t>GO:0016021: integral to membrane</t>
  </si>
  <si>
    <t>24001_at</t>
  </si>
  <si>
    <t>T cell lymphoma invasion and metastasis 2</t>
  </si>
  <si>
    <t>GO:0005057: receptor signaling protein activity, GO:0005085: guanyl-nucleotide exchange factor activity, GO:0005089: Rho guanyl-nucleotide exchange factor activity, GO:0005096: GTPase activator activity, GO:0005515: protein binding, GO:0005543: phospholipid binding, GO:0005622: intracellular, GO:0005737: cytoplasm, GO:0007165: signal transduction, GO:0016020: membrane, GO:0035023: regulation of Rho protein signal transduction, GO:0035556: intracellular signal transduction, GO:0042995: cell projection, GO:0043547: positive regulation of GTPase activity, GO:0050790: regulation of catalytic activity, GO:0050790: regulation of catalytic activity</t>
  </si>
  <si>
    <t>04062: Chemokine signaling pathway, 04810: Regulation of actin cytoskeleton</t>
  </si>
  <si>
    <t>22634_at</t>
  </si>
  <si>
    <t>pleiomorphic adenoma gene-like 1</t>
  </si>
  <si>
    <t>GO:0003677: DNA binding, GO:0005515: protein binding, GO:0010468: regulation of gene expression, GO:0045944: positive regulation of transcription from RNA polymerase II promoter</t>
  </si>
  <si>
    <t>72607_at</t>
  </si>
  <si>
    <t>ubiquitin specific peptidase 13 (isopeptidase T-3)</t>
  </si>
  <si>
    <t>GO:0004197: cysteine-type endopeptidase activity, GO:0004221: ubiquitin thiolesterase activity, GO:0004843: ubiquitin-specific protease activity, GO:0005575: cellular_component, GO:0006355: regulation of transcription, DNA-dependent, GO:0006508: proteolysis, GO:0006511: ubiquitin-dependent protein catabolic process, GO:0006914: autophagy, GO:0008233: peptidase activity, GO:0008234: cysteine-type peptidase activity, GO:0008242: omega peptidase activity, GO:0008270: zinc ion binding, GO:0008283: cell proliferation, GO:0010506: regulation of autophagy, GO:0016787: hydrolase activity, GO:0031625: ubiquitin protein ligase binding, GO:0043130: ubiquitin binding, GO:0046872: metal ion binding, GO:0050821: protein stabilization, GO:0070536: protein K63-linked deubiquitination</t>
  </si>
  <si>
    <t>381489_at</t>
  </si>
  <si>
    <t>relaxin/insulin-like family peptide receptor 1</t>
  </si>
  <si>
    <t>GO:0004871: signal transducer activity, GO:0004930: G-protein coupled receptor activity, GO:0004930: G-protein coupled receptor activity, GO:0005886: plasma membrane, GO:0007165: signal transduction, GO:0007186: G-protein coupled receptor signaling pathway, GO:0007188: adenylate cyclase-modulating G-protein coupled receptor signaling pathway, GO:0007188: adenylate cyclase-modulating G-protein coupled receptor signaling pathway, GO:0007189: adenylate cyclase-activating G-protein coupled receptor signaling pathway, GO:0007567: parturition, GO:0016020: membrane, GO:0016021: integral to membrane, GO:0030154: cell differentiation, GO:0030198: extracellular matrix organization, GO:0042562: hormone binding, GO:0046872: metal ion binding, GO:0060427: lung connective tissue development, GO:0060658: nipple morphogenesis</t>
  </si>
  <si>
    <t>108797_at</t>
  </si>
  <si>
    <t>mex3 homolog B (C. elegans)</t>
  </si>
  <si>
    <t>GO:0005634: nucleus, GO:0005737: cytoplasm, GO:0008150: biological_process, GO:0046872: metal ion binding</t>
  </si>
  <si>
    <t>12794_at</t>
  </si>
  <si>
    <t>cornichon homolog 2 (Drosophila)</t>
  </si>
  <si>
    <t>229699_at</t>
  </si>
  <si>
    <t>solute carrier family 16 (monocarboxylic acid transporters), member 4</t>
  </si>
  <si>
    <t>GO:0005783: endoplasmic reticulum, GO:0005886: plasma membrane, GO:0014069: postsynaptic density, GO:0016020: membrane, GO:0016021: integral to membrane, GO:0016247: channel regulator activity, GO:0030054: cell junction, GO:0030425: dendrite, GO:0032281: alpha-amino-3-hydroxy-5-methyl-4-isoxazolepropionic acid selective glutamate receptor complex, GO:0035249: synaptic transmission, glutamatergic, GO:0035556: intracellular signal transduction, GO:0042391: regulation of membrane potential, GO:0042995: cell projection, GO:0043197: dendritic spine, GO:0043198: dendritic shaft, GO:0045202: synapse, GO:0045211: postsynaptic membrane, GO:0051668: localization within membrane, GO:2000311: regulation of alpha-amino-3-hydroxy-5-methyl-4-isoxazole propionate selective glutamate receptor activity, GO:2000311: regulation of alpha-amino-3-hydroxy-5-methyl-4-isoxazole propionate selective glutamate receptor activity</t>
  </si>
  <si>
    <t>18162_at</t>
  </si>
  <si>
    <t>natriuretic peptide receptor 3</t>
  </si>
  <si>
    <t>GO:0007193: adenylate cyclase-inhibiting G-protein coupled receptor signaling pathway, GO:0007194: negative regulation of adenylate cyclase activity, GO:0007200: phospholipase C-activating G-protein coupled receptor signaling pathway, GO:0008217: regulation of blood pressure, GO:0008528: G-protein coupled peptide receptor activity, GO:0016941: natriuretic peptide receptor activity, GO:0017046: peptide hormone binding, GO:0042562: hormone binding, GO:0042803: protein homodimerization activity, GO:0051000: positive regulation of nitric-oxide synthase activity</t>
  </si>
  <si>
    <t>22596_at</t>
  </si>
  <si>
    <t>X-ray repair complementing defective repair in Chinese hamster cells 5</t>
  </si>
  <si>
    <t>05200: Pathways in cancer, 05220: Chronic myeloid leukemia, 05221: Acute myeloid leukemia</t>
  </si>
  <si>
    <t>171170_at</t>
  </si>
  <si>
    <t>GO:0000166: nucleotide binding, GO:0000784: nuclear chromosome, telomeric region, GO:0003677: DNA binding, GO:0003690: double-stranded DNA binding, GO:0004003: ATP-dependent DNA helicase activity, GO:0004386: helicase activity, GO:0005524: ATP binding, GO:0005634: nucleus, GO:0005634: nucleus, GO:0005694: chromosome, GO:0005737: cytoplasm, GO:0005737: cytoplasm, GO:0005958: DNA-dependent protein kinase-DNA ligase 4 complex, GO:0006200: ATP catabolic process, GO:0006281: DNA repair, GO:0006302: double-strand break repair, GO:0006302: double-strand break repair, GO:0006303: double-strand break repair via nonhomologous end joining, GO:0006310: DNA recombination, GO:0006351: transcription, DNA-dependent, GO:0006355: regulation of transcription, DNA-dependent, GO:0006974: response to DNA damage stimulus, GO:0008022: protein C-terminus binding, GO:0008283: cell proliferation, GO:0016787: hydrolase activity, GO:0016817: hydrolase activity, acting on acid anhydrides, GO:0032508: DNA duplex unwinding, GO:0042162: telomeric DNA binding, GO:0043066: negative regulation of apoptotic process, GO:0043234: protein complex, GO:0043564: Ku70:Ku80 complex, GO:0044212: transcription regulatory region DNA binding, GO:0045892: negative regulation of transcription, DNA-dependent, GO:0050769: positive regulation of neurogenesis, GO:0060218: hemopoietic stem cell differentiation, GO:0070419: nonhomologous end joining complex, GO:0071475: cellular hyperosmotic salinity response, GO:0071481: cellular response to X-ray</t>
  </si>
  <si>
    <t>03450: Non-homologous end-joining</t>
  </si>
  <si>
    <t>12394_at</t>
  </si>
  <si>
    <t>runt related transcription factor 1</t>
  </si>
  <si>
    <t>sema domain, immunoglobulin domain (Ig), short basic domain, secreted, (semaphorin) 3D</t>
  </si>
  <si>
    <t>GO:0000975: regulatory region DNA binding, GO:0001501: skeletal system development, GO:0001701: in utero embryonic development, GO:0001889: liver development, GO:0002318: myeloid progenitor cell differentiation, GO:0003677: DNA binding, GO:0003677: DNA binding, GO:0003700: sequence-specific DNA binding transcription factor activity, GO:0003700: sequence-specific DNA binding transcription factor activity, GO:0005509: calcium ion binding, GO:0005515: protein binding, GO:0005524: ATP binding, GO:0005604: basement membrane, GO:0005634: nucleus, GO:0005634: nucleus, GO:0006351: transcription, DNA-dependent, GO:0006355: regulation of transcription, DNA-dependent, GO:0007417: central nervous system development, GO:0008134: transcription factor binding, GO:0009966: regulation of signal transduction, GO:0030097: hemopoiesis, GO:0030097: hemopoiesis, GO:0030099: myeloid cell differentiation, GO:0030182: neuron differentiation, GO:0030853: negative regulation of granulocyte differentiation, GO:0030854: positive regulation of granulocyte differentiation, GO:0031069: hair follicle morphogenesis, GO:0032526: response to retinoic acid, GO:0035162: embryonic hemopoiesis, GO:0042803: protein homodimerization activity, GO:0043231: intracellular membrane-bounded organelle, GO:0045766: positive regulation of angiogenesis, GO:0045893: positive regulation of transcription, DNA-dependent, GO:0045944: positive regulation of transcription from RNA polymerase II promoter, GO:0045944: positive regulation of transcription from RNA polymerase II promoter, GO:0046982: protein heterodimerization activity, GO:0048266: behavioral response to pain, GO:0048666: neuron development, GO:0060216: definitive hemopoiesis, GO:0070491: repressing transcription factor binding, GO:0071336: regulation of hair follicle cell proliferation, GO:2000872: positive regulation of progesterone secretion</t>
  </si>
  <si>
    <t>sterile alpha motif domain containing 5</t>
  </si>
  <si>
    <t>13380_at</t>
  </si>
  <si>
    <t>dickkopf homolog 1 (Xenopus laevis)</t>
  </si>
  <si>
    <t>muscleblind-like 3 (Drosophila)</t>
  </si>
  <si>
    <t>GO:0003676: nucleic acid binding, GO:0005634: nucleus, GO:0005737: cytoplasm, GO:0005794: Golgi apparatus, GO:0006397: mRNA processing, GO:0007275: multicellular organismal development, GO:0008270: zinc ion binding, GO:0008380: RNA splicing, GO:0043231: intracellular membrane-bounded organelle, GO:0043484: regulation of RNA splicing, GO:0045662: negative regulation of myoblast differentiation, GO:0046872: metal ion binding</t>
  </si>
  <si>
    <t>11489_at</t>
  </si>
  <si>
    <t>a disintegrin and metallopeptidase domain 12 (meltrin alpha)</t>
  </si>
  <si>
    <t>GO:0004222: metalloendopeptidase activity, GO:0005515: protein binding, GO:0005634: nucleus, GO:0005739: mitochondrion, GO:0005886: plasma membrane, GO:0006508: proteolysis, GO:0007155: cell adhesion, GO:0008233: peptidase activity, GO:0008237: metallopeptidase activity, GO:0008270: zinc ion binding, GO:0016020: membrane, GO:0016021: integral to membrane, GO:0016787: hydrolase activity, GO:0017124: SH3 domain binding, GO:0046872: metal ion binding</t>
  </si>
  <si>
    <t>19242_at</t>
  </si>
  <si>
    <t>pleiotrophin</t>
  </si>
  <si>
    <t>GO:0001503: ossification, GO:0005576: extracellular region, GO:0005578: proteinaceous extracellular matrix, GO:0005783: endoplasmic reticulum, GO:0007612: learning, GO:0008083: growth factor activity, GO:0008201: heparin binding, GO:0030282: bone mineralization, GO:0051781: positive regulation of cell division</t>
  </si>
  <si>
    <t>67153_at</t>
  </si>
  <si>
    <t>ribonuclease H2, subunit B</t>
  </si>
  <si>
    <t>GO:0003674: molecular_function, GO:0005634: nucleus, GO:0006401: RNA catabolic process, GO:0032299: ribonuclease H2 complex, GO:0032299: ribonuclease H2 complex</t>
  </si>
  <si>
    <t>03030: DNA replication</t>
  </si>
  <si>
    <t>30785_at</t>
  </si>
  <si>
    <t>cortactin binding protein 2</t>
  </si>
  <si>
    <t>GO:0005519: cytoskeletal regulatory protein binding, GO:0008021: synaptic vesicle, GO:0015629: actin cytoskeleton, GO:0017124: SH3 domain binding, GO:0030036: actin cytoskeleton organization</t>
  </si>
  <si>
    <t>231633_at</t>
  </si>
  <si>
    <t>transmembrane protein 119</t>
  </si>
  <si>
    <t>108151_at</t>
  </si>
  <si>
    <t>GO:0000122: negative regulation of transcription from RNA polymerase II promoter, GO:0000122: negative regulation of transcription from RNA polymerase II promoter, GO:0000904: cell morphogenesis involved in differentiation, GO:0001706: endoderm formation, GO:0001707: mesoderm formation, GO:0001942: hair follicle development, GO:0002090: regulation of receptor internalization, GO:0005515: protein binding, GO:0005576: extracellular region, GO:0005615: extracellular space, GO:0005886: plasma membrane, GO:0007492: endoderm development, GO:0030111: regulation of Wnt receptor signaling pathway, GO:0030178: negative regulation of Wnt receptor signaling pathway, GO:0030326: embryonic limb morphogenesis, GO:0030514: negative regulation of BMP signaling pathway, GO:0030900: forebrain development, GO:0031333: negative regulation of protein complex assembly, GO:0032526: response to retinoic acid, GO:0033137: negative regulation of peptidyl-serine phosphorylation, GO:0048019: receptor antagonist activity, GO:0048642: negative regulation of skeletal muscle tissue development, GO:0050750: low-density lipoprotein particle receptor binding, GO:0060323: head morphogenesis, GO:0060325: face morphogenesis, GO:0090090: negative regulation of canonical Wnt receptor signaling pathway, GO:0090090: negative regulation of canonical Wnt receptor signaling pathway, GO:0090090: negative regulation of canonical Wnt receptor signaling pathway, GO:0090090: negative regulation of canonical Wnt receptor signaling pathway, GO:0090244: Wnt receptor signaling pathway involved in somitogenesis, GO:1900116: extracellular negative regulation of signal transduction, GO:2000272: negative regulation of receptor activity</t>
  </si>
  <si>
    <t>18074_at</t>
  </si>
  <si>
    <t>nidogen 2</t>
  </si>
  <si>
    <t>GO:0004872: receptor activity, GO:0005576: extracellular region, GO:0007275: multicellular organismal development, GO:0007399: nervous system development, GO:0016020: membrane, GO:0030154: cell differentiation</t>
  </si>
  <si>
    <t>211378_at</t>
  </si>
  <si>
    <t>RIKEN cDNA 6720489N17 gene</t>
  </si>
  <si>
    <t>320825_at</t>
  </si>
  <si>
    <t>GO:0005509: calcium ion binding, GO:0005515: protein binding, GO:0005576: extracellular region, GO:0005578: proteinaceous extracellular matrix, GO:0005604: basement membrane, GO:0005604: basement membrane, GO:0007155: cell adhesion, GO:0007160: cell-matrix adhesion, GO:0007160: cell-matrix adhesion, GO:0009986: cell surface</t>
  </si>
  <si>
    <t>237979_at</t>
  </si>
  <si>
    <t>sidekick homolog 2 (chicken)</t>
  </si>
  <si>
    <t>21961_at</t>
  </si>
  <si>
    <t>tensin 1</t>
  </si>
  <si>
    <t>GO:0003779: actin binding, GO:0005925: focal adhesion, GO:0005925: focal adhesion, GO:0007044: cell-substrate junction assembly, GO:0010761: fibroblast migration, GO:0030055: cell-substrate junction, GO:0046872: metal ion binding</t>
  </si>
  <si>
    <t>16523_at</t>
  </si>
  <si>
    <t>potassium inwardly-rectifying channel, subfamily J, member 8</t>
  </si>
  <si>
    <t>GO:0005216: ion channel activity, GO:0005242: inward rectifier potassium channel activity, GO:0005244: voltage-gated ion channel activity, GO:0005524: ATP binding, GO:0005739: mitochondrion, GO:0006810: transport, GO:0006811: ion transport, GO:0006813: potassium ion transport, GO:0007507: heart development, GO:0008282: ATP-sensitive potassium channel complex, GO:0009268: response to pH, GO:0010107: potassium ion import, GO:0015272: ATP-activated inward rectifier potassium channel activity, GO:0016020: membrane, GO:0016021: integral to membrane, GO:0030016: myofibril, GO:0032496: response to lipopolysaccharide, GO:0034765: regulation of ion transmembrane transport, GO:0042311: vasodilation, GO:0042383: sarcolemma, GO:0043330: response to exogenous dsRNA, GO:0051607: defense response to virus, GO:0071805: potassium ion transmembrane transport</t>
  </si>
  <si>
    <t>73094_at</t>
  </si>
  <si>
    <t>SH3-domain GRB2-like (endophilin) interacting protein 1</t>
  </si>
  <si>
    <t>GO:0005515: protein binding, GO:0005543: phospholipid binding, GO:0005737: cytoplasm, GO:0005886: plasma membrane, GO:0005886: plasma membrane, GO:0005905: coated pit, GO:0006897: endocytosis, GO:0008017: microtubule binding, GO:0015631: tubulin binding, GO:0016020: membrane, GO:0017124: SH3 domain binding, GO:0030122: AP-2 adaptor complex, GO:0030136: clathrin-coated vesicle, GO:0048260: positive regulation of receptor-mediated endocytosis</t>
  </si>
  <si>
    <t>75974_at</t>
  </si>
  <si>
    <t>dedicator of cytokinesis 11</t>
  </si>
  <si>
    <t>GO:0005085: guanyl-nucleotide exchange factor activity, GO:0005089: Rho guanyl-nucleotide exchange factor activity, GO:0005525: GTP binding, GO:0005543: phospholipid binding, GO:0005575: cellular_component, GO:0017048: Rho GTPase binding, GO:0050790: regulation of catalytic activity, GO:0051020: GTPase binding</t>
  </si>
  <si>
    <t>18595_at</t>
  </si>
  <si>
    <t>platelet derived growth factor receptor, alpha polypeptide</t>
  </si>
  <si>
    <t>GO:0000166: nucleotide binding, GO:0001553: luteinization, GO:0001553: luteinization, GO:0001701: in utero embryonic development, GO:0004672: protein kinase activity, GO:0004713: protein tyrosine kinase activity, GO:0004714: transmembrane receptor protein tyrosine kinase activity, GO:0005018: platelet-derived growth factor alpha-receptor activity, GO:0005018: platelet-derived growth factor alpha-receptor activity, GO:0005021: vascular endothelial growth factor-activated receptor activity, GO:0005161: platelet-derived growth factor receptor binding, GO:0005524: ATP binding, GO:0005634: nucleus, GO:0005634: nucleus, GO:0005737: cytoplasm, GO:0005886: plasma membrane, GO:0005887: integral to plasma membrane, GO:0006468: protein phosphorylation, GO:0006935: chemotaxis, GO:0007169: transmembrane receptor protein tyrosine kinase signaling pathway, GO:0007204: elevation of cytosolic calcium ion concentration, GO:0007275: multicellular organismal development, GO:0008210: estrogen metabolic process, GO:0008284: positive regulation of cell proliferation, GO:0008585: female gonad development, GO:0009653: anatomical structure morphogenesis, GO:0009887: organ morphogenesis, GO:0010544: negative regulation of platelet activation, GO:0010863: positive regulation of phospholipase C activity, GO:0016020: membrane, GO:0016021: integral to membrane, GO:0016301: kinase activity, GO:0016310: phosphorylation, GO:0016477: cell migration, GO:0016740: transferase activity, GO:0016772: transferase activity, transferring phosphorus-containing groups, GO:0018108: peptidyl-tyrosine phosphorylation, GO:0018108: peptidyl-tyrosine phosphorylation, GO:0023019: signal transduction involved in regulation of gene expression, GO:0030198: extracellular matrix organization, GO:0030324: lung development, GO:0030325: adrenal gland development, GO:0030335: positive regulation of cell migration, GO:0030539: male genitalia development, GO:0031226: intrinsic to plasma membrane, GO:0033327: Leydig cell differentiation, GO:0035790: platelet-derived growth factor receptor-alpha signaling pathway, GO:0035790: platelet-derived growth factor receptor-alpha signaling pathway, GO:0038085: vascular endothelial growth factor binding, GO:0038091: positive regulation of cell proliferation by VEGF-activated platelet derived growth factor receptor signaling pathway, GO:0042060: wound healing, GO:0042475: odontogenesis of dentin-containing tooth, GO:0042803: protein homodimerization activity, GO:0043548: phosphatidylinositol 3-kinase binding, GO:0043552: positive regulation of phosphatidylinositol 3-kinase activity, GO:0045740: positive regulation of DNA replication, GO:0046777: protein autophosphorylation, GO:0046777: protein autophosphorylation, GO:0048008: platelet-derived growth factor receptor signaling pathway, GO:0048008: platelet-derived growth factor receptor signaling pathway, GO:0048010: vascular endothelial growth factor receptor signaling pathway, GO:0048015: phosphatidylinositol-mediated signaling, GO:0048146: positive regulation of fibroblast proliferation, GO:0048407: platelet-derived growth factor binding, GO:0048407: platelet-derived growth factor binding, GO:0048407: platelet-derived growth factor binding, GO:0048557: embryonic digestive tract morphogenesis, GO:0048701: embryonic cranial skeleton morphogenesis, GO:0048705: skeletal system morphogenesis, GO:0050920: regulation of chemotaxis, GO:0055003: cardiac myofibril assembly, GO:0060021: palate development, GO:0060325: face morphogenesis, GO:0060326: cell chemotaxis, GO:0060326: cell chemotaxis, GO:0061298: retina vasculature development in camera-type eye, GO:0070374: positive regulation of ERK1 and ERK2 cascade, GO:0070527: platelet aggregation, GO:0071230: cellular response to amino acid stimulus, GO:0072277: metanephric glomerular capillary formation, GO:2000739: regulation of mesenchymal stem cell differentiation</t>
  </si>
  <si>
    <t>04010: MAPK signaling pathway, 04020: Calcium signaling pathway, 04060: Cytokine-cytokine receptor interaction, 04144: Endocytosis, 04510: Focal adhesion, 04540: Gap junction, 04810: Regulation of actin cytoskeleton, 05200: Pathways in cancer, 05214: Glioma, 05215: Prostate cancer, 05218: Melanoma</t>
  </si>
  <si>
    <t>12842_at</t>
  </si>
  <si>
    <t>collagen, type I, alpha 1</t>
  </si>
  <si>
    <t>GO:0001501: skeletal system development, GO:0001501: skeletal system development, GO:0001568: blood vessel development, GO:0001568: blood vessel development, GO:0001957: intramembranous ossification, GO:0001958: endochondral ossification, GO:0005201: extracellular matrix structural constituent, GO:0005515: protein binding, GO:0005576: extracellular region, GO:0005578: proteinaceous extracellular matrix, GO:0005581: collagen, GO:0005581: collagen, GO:0005584: collagen type I, GO:0005584: collagen type I, GO:0005584: collagen type I, GO:0005615: extracellular space, GO:0005737: cytoplasm, GO:0007601: visual perception, GO:0007605: sensory perception of sound, GO:0010718: positive regulation of epithelial to mesenchymal transition, GO:0010812: negative regulation of cell-substrate adhesion, GO:0015031: protein transport, GO:0030199: collagen fibril organization, GO:0030335: positive regulation of cell migration, GO:0031012: extracellular matrix, GO:0032964: collagen biosynthetic process, GO:0034504: protein localization to nucleus, GO:0034505: tooth mineralization, GO:0042060: wound healing, GO:0042802: identical protein binding, GO:0043588: skin development, GO:0043589: skin morphogenesis, GO:0045893: positive regulation of transcription, DNA-dependent, GO:0048407: platelet-derived growth factor binding, GO:0048705: skeletal system morphogenesis, GO:0048706: embryonic skeletal system development, GO:0060325: face morphogenesis, GO:0060346: bone trabecula formation, GO:0060351: cartilage development involved in endochondral bone morphogenesis, GO:0070208: protein heterotrimerization, GO:0071230: cellular response to amino acid stimulus, GO:0090263: positive regulation of canonical Wnt receptor signaling pathway</t>
  </si>
  <si>
    <t>66873_at</t>
  </si>
  <si>
    <t>TLR4 interactor with leucine-rich repeats</t>
  </si>
  <si>
    <t>GO:0001530: lipopolysaccharide binding, GO:0002718: regulation of cytokine production involved in immune response, GO:0006954: inflammatory response, GO:0016020: membrane, GO:0016021: integral to membrane, GO:0034142: toll-like receptor 4 signaling pathway, GO:0045087: innate immune response, GO:0046696: lipopolysaccharide receptor complex</t>
  </si>
  <si>
    <t>319939_at</t>
  </si>
  <si>
    <t>tensin 3</t>
  </si>
  <si>
    <t>GO:0003674: molecular_function, GO:0005575: cellular_component, GO:0008284: positive regulation of cell proliferation, GO:0016477: cell migration, GO:0030054: cell junction, GO:0046872: metal ion binding, GO:0048286: lung alveolus development</t>
  </si>
  <si>
    <t>74055_at</t>
  </si>
  <si>
    <t>phospholipase C, epsilon 1</t>
  </si>
  <si>
    <t>GO:0000187: activation of MAPK activity, GO:0004435: phosphatidylinositol phospholipase C activity, GO:0004629: phospholipase C activity, GO:0004871: signal transducer activity, GO:0005085: guanyl-nucleotide exchange factor activity, GO:0005509: calcium ion binding, GO:0005622: intracellular, GO:0005737: cytoplasm, GO:0005794: Golgi apparatus, GO:0005829: cytosol, GO:0005886: plasma membrane, GO:0006629: lipid metabolic process, GO:0007165: signal transduction, GO:0007186: G-protein coupled receptor signaling pathway, GO:0007200: phospholipase C-activating G-protein coupled receptor signaling pathway, GO:0007264: small GTPase mediated signal transduction, GO:0007265: Ras protein signal transduction, GO:0008081: phosphoric diester hydrolase activity, GO:0008277: regulation of G-protein coupled receptor protein signaling pathway, GO:0016020: membrane, GO:0016042: lipid catabolic process, GO:0016787: hydrolase activity, GO:0017016: Ras GTPase binding, GO:0019899: enzyme binding, GO:0032835: glomerulus development, GO:0035556: intracellular signal transduction, GO:0045859: regulation of protein kinase activity, GO:0046578: regulation of Ras protein signal transduction, GO:0050790: regulation of catalytic activity</t>
  </si>
  <si>
    <t>15437_at</t>
  </si>
  <si>
    <t>homeobox D8</t>
  </si>
  <si>
    <t>GO:0000122: negative regulation of transcription from RNA polymerase II promoter, GO:0003677: DNA binding, GO:0005575: cellular_component, GO:0005634: nucleus, GO:0007275: multicellular organismal development, GO:0009952: anterior/posterior pattern specification, GO:0009952: anterior/posterior pattern specification, GO:0048705: skeletal system morphogenesis, GO:0048705: skeletal system morphogenesis</t>
  </si>
  <si>
    <t>245578_at</t>
  </si>
  <si>
    <t>protocadherin 11 X-linked</t>
  </si>
  <si>
    <t>GO:0005515: protein binding, GO:0005575: cellular_component, GO:0007155: cell adhesion, GO:0010923: negative regulation of phosphatase activity, GO:0016020: membrane, GO:0016021: integral to membrane</t>
  </si>
  <si>
    <t>14165_at</t>
  </si>
  <si>
    <t>fibroblast growth factor 10</t>
  </si>
  <si>
    <t>GO:0000187: activation of MAPK activity, GO:0001759: organ induction, GO:0001759: organ induction, GO:0001974: blood vessel remodeling, GO:0003338: metanephros morphogenesis, GO:0005104: fibroblast growth factor receptor binding, GO:0005111: type 2 fibroblast growth factor receptor binding, GO:0005515: protein binding, GO:0005576: extracellular region, GO:0005615: extracellular space, GO:0005615: extracellular space, GO:0005634: nucleus, GO:0005886: plasma membrane, GO:0006935: chemotaxis, GO:0007267: cell-cell signaling, GO:0007267: cell-cell signaling, GO:0007368: determination of left/right symmetry, GO:0007431: salivary gland development, GO:0007435: salivary gland morphogenesis, GO:0008083: growth factor activity, GO:0008201: heparin binding, GO:0008284: positive regulation of cell proliferation, GO:0008285: negative regulation of cell proliferation, GO:0008544: epidermis development, GO:0008589: regulation of smoothened signaling pathway, GO:0009880: embryonic pattern specification, GO:0009887: organ morphogenesis, GO:0009887: organ morphogenesis, GO:0009986: cell surface, GO:0010468: regulation of gene expression, GO:0010631: epithelial cell migration, GO:0010634: positive regulation of epithelial cell migration, GO:0010634: positive regulation of epithelial cell migration, GO:0010838: positive regulation of keratinocyte proliferation, GO:0021983: pituitary gland development, GO:0030177: positive regulation of Wnt receptor signaling pathway, GO:0030324: lung development, GO:0030324: lung development, GO:0030538: embryonic genitalia morphogenesis, GO:0030855: epithelial cell differentiation, GO:0030878: thyroid gland development, GO:0030916: otic vesicle formation, GO:0030949: positive regulation of vascular endothelial growth factor receptor signaling pathway, GO:0031016: pancreas development, GO:0031069: hair follicle morphogenesis, GO:0031076: embryonic camera-type eye development, GO:0031532: actin cytoskeleton reorganization, GO:0031659: positive regulation of cyclin-dependent protein kinase activity involved in G1/S, GO:0032781: positive regulation of ATPase activity, GO:0032808: lacrimal gland development, GO:0032808: lacrimal gland development, GO:0032925: regulation of activin receptor signaling pathway, GO:0034394: protein localization to cell surface, GO:0035019: somatic stem cell maintenance, GO:0035108: limb morphogenesis, GO:0035265: organ growth, GO:0042056: chemoattractant activity, GO:0042056: chemoattractant activity, GO:0042060: wound healing, GO:0042472: inner ear morphogenesis, GO:0042472: inner ear morphogenesis, GO:0042475: odontogenesis of dentin-containing tooth, GO:0042693: muscle cell fate commitment, GO:0043066: negative regulation of apoptotic process, GO:0043410: positive regulation of MAPK cascade, GO:0043616: keratinocyte proliferation, GO:0045596: negative regulation of cell differentiation, GO:0045739: positive regulation of DNA repair, GO:0045740: positive regulation of DNA replication, GO:0045747: positive regulation of Notch signaling pathway, GO:0045893: positive regulation of transcription, DNA-dependent, GO:0045931: positive regulation of mitotic cell cycle, GO:0045944: positive regulation of transcription from RNA polymerase II promoter, GO:0046579: positive regulation of Ras protein signal transduction, GO:0046877: regulation of saliva secretion, GO:0048146: positive regulation of fibroblast proliferation, GO:0048286: lung alveolus development, GO:0048286: lung alveolus development, GO:0048514: blood vessel morphogenesis, GO:0048536: spleen development, GO:0048538: thymus development, GO:0048557: embryonic digestive tract morphogenesis, GO:0048565: digestive tract development, GO:0048566: embryonic digestive tract development, GO:0048645: organ formation, GO:0048730: epidermis morphogenesis, GO:0048752: semicircular canal morphogenesis, GO:0048754: branching morphogenesis of a tube, GO:0048807: female genitalia morphogenesis, GO:0048808: male genitalia morphogenesis, GO:0050671: positive regulation of lymphocyte proliferation, GO:0050673: epithelial cell proliferation, GO:0050673: epithelial cell proliferation, GO:0050674: urothelial cell proliferation, GO:0050677: positive regulation of urothelial cell proliferation, GO:0050678: regulation of epithelial cell proliferation, GO:0050679: positive regulation of epithelial cell proliferation, GO:0050679: positive regulation of epithelial cell proliferation, GO:0050731: positive regulation of peptidyl-tyrosine phosphorylation, GO:0050872: white fat cell differentiation, GO:0050918: positive chemotaxis, GO:0050918: positive chemotaxis, GO:0050930: induction of positive chemotaxis, GO:0051145: smooth muscle cell differentiation, GO:0051549: positive regulation of keratinocyte migration, GO:0060019: radial glial cell differentiation, GO:0060173: limb development, GO:0060174: limb bud formation, GO:0060425: lung morphogenesis, GO:0060428: lung epithelium development, GO:0060430: lung saccule development, GO:0060436: bronchiole morphogenesis, GO:0060441: epithelial tube branching involved in lung morphogenesis, GO:0060441: epithelial tube branching involved in lung morphogenesis, GO:0060445: branching involved in salivary gland morphogenesis, GO:0060445: branching involved in salivary gland morphogenesis, GO:0060447: bud outgrowth involved in lung branching, GO:0060496: mesenchymal-epithelial cell signaling involved in lung development, GO:0060510: Type II pneumocyte differentiation, GO:0060541: respiratory system development, GO:0060594: mammary gland specification, GO:0060595: fibroblast growth factor receptor signaling pathway involved in mammary gland specification, GO:0060595: fibroblast growth factor receptor signaling pathway involved in mammary gland specification, GO:0060595: fibroblast growth factor receptor signaling pathway involved in mammary gland specification, GO:0060615: mammary gland bud formation, GO:0060661: submandibular salivary gland formation, GO:0060664: epithelial cell proliferation involved in salivary gland morphogenesis, GO:0060664: epithelial cell proliferation involved in salivary gland morphogenesis, GO:0060665: regulation of branching involved in salivary gland morphogenesis by mesenchymal-epithelial signaling, GO:0060667: branch elongation involved in salivary gland morphogenesis, GO:0060685: regulation of prostatic bud formation, GO:0060879: semicircular canal fusion, GO:0060915: mesenchymal cell differentiation involved in lung development, GO:0061033: secretion by lung epithelial cell involved in lung growth, GO:0061115: lung proximal/distal axis specification, GO:0070075: tear secretion, GO:0070352: positive regulation of white fat cell proliferation, GO:0070371: ERK1 and ERK2 cascade, GO:0070374: positive regulation of ERK1 and ERK2 cascade, GO:0070374: positive regulation of ERK1 and ERK2 cascade, GO:0070374: positive regulation of ERK1 and ERK2 cascade, GO:0070384: Harderian gland development, GO:0071157: negative regulation of cell cycle arrest, GO:0071338: positive regulation of hair follicle cell proliferation, GO:0090263: positive regulation of canonical Wnt receptor signaling pathway</t>
  </si>
  <si>
    <t>GO:0005216: ion channel activity, GO:0005244: voltage-gated ion channel activity, GO:0005245: voltage-gated calcium channel activity, GO:0005262: calcium channel activity, GO:0005515: protein binding, GO:0005891: voltage-gated calcium channel complex, GO:0006810: transport, GO:0006811: ion transport, GO:0006816: calcium ion transport, GO:0016020: membrane, GO:0016021: integral to membrane, GO:0016529: sarcoplasmic reticulum, GO:0030315: T-tubule, GO:0034765: regulation of ion transmembrane transport, GO:0046872: metal ion binding, GO:0051924: regulation of calcium ion transport, GO:0051925: regulation of calcium ion transport via voltage-gated calcium channel activity, GO:0070588: calcium ion transmembrane transport</t>
  </si>
  <si>
    <t>74123_at</t>
  </si>
  <si>
    <t>forkhead box P4</t>
  </si>
  <si>
    <t>GO:0000122: negative regulation of transcription from RNA polymerase II promoter, GO:0000122: negative regulation of transcription from RNA polymerase II promoter, GO:0003677: DNA binding, GO:0003682: chromatin binding, GO:0003690: double-stranded DNA binding, GO:0003700: sequence-specific DNA binding transcription factor activity, GO:0003705: RNA polymerase II distal enhancer sequence-specific DNA binding transcription factor activity, GO:0005622: intracellular, GO:0005634: nucleus, GO:0005667: transcription factor complex, GO:0005737: cytoplasm, GO:0006351: transcription, DNA-dependent, GO:0006355: regulation of transcription, DNA-dependent, GO:0007389: pattern specification process, GO:0007507: heart development, GO:0008134: transcription factor binding, GO:0008270: zinc ion binding, GO:0008301: DNA binding, bending, GO:0009888: tissue development, GO:0042803: protein homodimerization activity, GO:0043565: sequence-specific DNA binding, GO:0046872: metal ion binding, GO:0046982: protein heterodimerization activity, GO:0048617: embryonic foregut morphogenesis, GO:0051090: regulation of sequence-specific DNA binding transcription factor activity</t>
  </si>
  <si>
    <t>68732_at</t>
  </si>
  <si>
    <t>leucine rich repeat containing 16A</t>
  </si>
  <si>
    <t>GO:0003824: catalytic activity, GO:0005886: plasma membrane, GO:0005887: integral to plasma membrane, GO:0006470: protein dephosphorylation, GO:0006470: protein dephosphorylation, GO:0006651: diacylglycerol biosynthetic process, GO:0006670: sphingosine metabolic process, GO:0006672: ceramide metabolic process, GO:0007165: signal transduction, GO:0008152: metabolic process, GO:0008195: phosphatidate phosphatase activity, GO:0008195: phosphatidate phosphatase activity, GO:0008195: phosphatidate phosphatase activity, GO:0008195: phosphatidate phosphatase activity, GO:0016020: membrane, GO:0016021: integral to membrane, GO:0016311: dephosphorylation, GO:0016787: hydrolase activity</t>
  </si>
  <si>
    <t>00561: Glycerolipid metabolism, 00564: Glycerophospholipid metabolism, 00565: Ether lipid metabolism, 00600: Sphingolipid metabolism, 01100: Metabolic pathways, 04666: Fc gamma R-mediated phagocytosis, 04975: Fat digestion and absorption</t>
  </si>
  <si>
    <t>12552_at</t>
  </si>
  <si>
    <t>cadherin 11</t>
  </si>
  <si>
    <t>GO:0005509: calcium ion binding, GO:0005737: cytoplasm, GO:0005886: plasma membrane, GO:0007155: cell adhesion, GO:0007156: homophilic cell adhesion, GO:0016020: membrane, GO:0016021: integral to membrane, GO:0021957: corticospinal tract morphogenesis</t>
  </si>
  <si>
    <t>18053_at</t>
  </si>
  <si>
    <t>nerve growth factor receptor (TNFR superfamily, member 16)</t>
  </si>
  <si>
    <t>GO:0000166: nucleotide binding, GO:0004383: guanylate cyclase activity, GO:0005525: GTP binding, GO:0005737: cytoplasm, GO:0006182: cGMP biosynthetic process, GO:0006182: cGMP biosynthetic process, GO:0007263: nitric oxide mediated signal transduction, GO:0008074: guanylate cyclase complex, soluble, GO:0008217: regulation of blood pressure, GO:0009190: cyclic nucleotide biosynthetic process, GO:0016829: lyase activity, GO:0016849: phosphorus-oxygen lyase activity, GO:0020037: heme binding, GO:0030828: positive regulation of cGMP biosynthetic process, GO:0035556: intracellular signal transduction, GO:0043167: ion binding, GO:0043234: protein complex, GO:0046982: protein heterodimerization activity, GO:0052565: response to defense-related host nitric oxide production, GO:0060087: relaxation of vascular smooth muscle</t>
  </si>
  <si>
    <t>00230: Purine metabolism, 04270: Vascular smooth muscle contraction, 04540: Gap junction, 04730: Long-term depression, 04970: Salivary secretion</t>
  </si>
  <si>
    <t>19012_at</t>
  </si>
  <si>
    <t>phosphatidic acid phosphatase type 2A</t>
  </si>
  <si>
    <t>GO:0005634: nucleus, GO:0005737: cytoplasm, GO:0016477: cell migration, GO:0030027: lamellipodium, GO:0030032: lamellipodium assembly, GO:0031529: ruffle organization, GO:0046415: urate metabolic process</t>
  </si>
  <si>
    <t>104681_at</t>
  </si>
  <si>
    <t>solute carrier family 16 (monocarboxylic acid transporters), member 6</t>
  </si>
  <si>
    <t>60596_at</t>
  </si>
  <si>
    <t>guanylate cyclase 1, soluble, alpha 3</t>
  </si>
  <si>
    <t>215789_at</t>
  </si>
  <si>
    <t>phosphatase and actin regulator 2</t>
  </si>
  <si>
    <t>408066_at</t>
  </si>
  <si>
    <t>cDNA sequence BC067074</t>
  </si>
  <si>
    <t>12293_at</t>
  </si>
  <si>
    <t>calcium channel, voltage-dependent, alpha2/delta subunit 1</t>
  </si>
  <si>
    <t>GO:0001540: beta-amyloid binding, GO:0005035: death receptor activity, GO:0005168: neurotrophin TRKA receptor binding, GO:0005515: protein binding, GO:0005634: nucleus, GO:0005635: nuclear envelope, GO:0005737: cytoplasm, GO:0005737: cytoplasm, GO:0005791: rough endoplasmic reticulum, GO:0005794: Golgi apparatus, GO:0005886: plasma membrane, GO:0005886: plasma membrane, GO:0006917: induction of apoptosis, GO:0006917: induction of apoptosis, GO:0007165: signal transduction, GO:0007411: axon guidance, GO:0007417: central nervous system development, GO:0009611: response to wounding, GO:0009897: external side of plasma membrane, GO:0010468: regulation of gene expression, GO:0010942: positive regulation of cell death, GO:0010977: negative regulation of neuron projection development, GO:0016048: detection of temperature stimulus, GO:0019233: sensory perception of pain, GO:0021675: nerve development, GO:0030135: coated vesicle, GO:0031069: hair follicle morphogenesis, GO:0031625: ubiquitin protein ligase binding, GO:0031643: positive regulation of myelination, GO:0032224: positive regulation of synaptic transmission, cholinergic, GO:0032590: dendrite membrane, GO:0032809: neuronal cell body membrane, GO:0034599: cellular response to oxidative stress, GO:0035025: positive regulation of Rho protein signal transduction, GO:0040037: negative regulation of fibroblast growth factor receptor signaling pathway, GO:0042488: positive regulation of odontogenesis of dentin-containing tooth, GO:0043065: positive regulation of apoptotic process, GO:0043121: neurotrophin binding, GO:0043204: perikaryon, GO:0043410: positive regulation of MAPK cascade, GO:0043524: negative regulation of neuron apoptotic process, GO:0043525: positive regulation of neuron apoptotic process, GO:0043588: skin development, GO:0045121: membrane raft, GO:0045334: clathrin-coated endocytic vesicle, GO:0048146: positive regulation of fibroblast proliferation, GO:0048406: nerve growth factor binding, GO:0048406: nerve growth factor binding, GO:0051799: negative regulation of hair follicle development, GO:0051897: positive regulation of protein kinase B signaling cascade, GO:0051902: negative regulation of mitochondrial depolarization, GO:0051968: positive regulation of synaptic transmission, glutamatergic, GO:0060548: negative regulation of cell death, GO:0070678: preprotein binding, GO:2000377: regulation of reactive oxygen species metabolic process</t>
  </si>
  <si>
    <t>lectin, galactose binding, soluble 9</t>
  </si>
  <si>
    <t>GO:0004871: signal transducer activity, GO:0005576: extracellular region, GO:0005737: cytoplasm, GO:0007157: heterophilic cell-cell adhesion, GO:0007165: signal transduction, GO:0016936: galactoside binding, GO:0030246: carbohydrate binding, GO:0043123: positive regulation of I-kappaB kinase/NF-kappaB cascade</t>
  </si>
  <si>
    <t>98267_at</t>
  </si>
  <si>
    <t>serine/threonine kinase 17b (apoptosis-inducing)</t>
  </si>
  <si>
    <t>04060: Cytokine-cytokine receptor interaction, 04722: Neurotrophin signaling pathway</t>
  </si>
  <si>
    <t>68010_at</t>
  </si>
  <si>
    <t>BMP and activin membrane-bound inhibitor, homolog (Xenopus laevis)</t>
  </si>
  <si>
    <t>GO:0005109: frizzled binding, GO:0005737: cytoplasm, GO:0005886: plasma membrane, GO:0007179: transforming growth factor beta receptor signaling pathway, GO:0008284: positive regulation of cell proliferation, GO:0008360: regulation of cell shape, GO:0010718: positive regulation of epithelial to mesenchymal transition, GO:0016020: membrane, GO:0016021: integral to membrane, GO:0016477: cell migration, GO:0030512: negative regulation of transforming growth factor beta receptor signaling pathway, GO:0032092: positive regulation of protein binding, GO:0035413: positive regulation of catenin import into nucleus, GO:0045893: positive regulation of transcription, DNA-dependent, GO:0090263: positive regulation of canonical Wnt receptor signaling pathway</t>
  </si>
  <si>
    <t>14114_at</t>
  </si>
  <si>
    <t>fibulin 1</t>
  </si>
  <si>
    <t>GO:0005509: calcium ion binding, GO:0005515: protein binding, GO:0005576: extracellular region, GO:0005578: proteinaceous extracellular matrix, GO:0005604: basement membrane, GO:0005615: extracellular space, GO:0016504: peptidase activator activity, GO:0030198: extracellular matrix organization</t>
  </si>
  <si>
    <t>12825_at</t>
  </si>
  <si>
    <t>collagen, type III, alpha 1</t>
  </si>
  <si>
    <t>GO:0000166: nucleotide binding, GO:0004672: protein kinase activity, GO:0004674: protein serine/threonine kinase activity, GO:0005524: ATP binding, GO:0005634: nucleus, GO:0006468: protein phosphorylation, GO:0006915: apoptotic process, GO:0006917: induction of apoptosis, GO:0007243: intracellular protein kinase cascade, GO:0012501: programmed cell death, GO:0015629: actin cytoskeleton, GO:0016301: kinase activity, GO:0016310: phosphorylation, GO:0016740: transferase activity, GO:0016772: transferase activity, transferring phosphorus-containing groups, GO:0046777: protein autophosphorylation</t>
  </si>
  <si>
    <t>70747_at</t>
  </si>
  <si>
    <t>tetraspanin 2</t>
  </si>
  <si>
    <t>GO:0003674: molecular_function, GO:0008150: biological_process, GO:0016020: membrane, GO:0016021: integral to membrane, GO:0043209: myelin sheath</t>
  </si>
  <si>
    <t>13405_at</t>
  </si>
  <si>
    <t>dystrophin, muscular dystrophy</t>
  </si>
  <si>
    <t>GO:0001568: blood vessel development, GO:0005178: integrin binding, GO:0005201: extracellular matrix structural constituent, GO:0005576: extracellular region, GO:0005578: proteinaceous extracellular matrix, GO:0005581: collagen, GO:0005586: collagen type III, GO:0005586: collagen type III, GO:0005615: extracellular space, GO:0007160: cell-matrix adhesion, GO:0007179: transforming growth factor beta receptor signaling pathway, GO:0007229: integrin-mediated signaling pathway, GO:0007507: heart development, GO:0009314: response to radiation, GO:0018149: peptide cross-linking, GO:0030199: collagen fibril organization, GO:0030199: collagen fibril organization, GO:0031012: extracellular matrix, GO:0031012: extracellular matrix, GO:0032964: collagen biosynthetic process, GO:0034097: response to cytokine stimulus, GO:0042060: wound healing, GO:0043206: fibril organization, GO:0043588: skin development, GO:0046332: SMAD binding, GO:0048407: platelet-derived growth factor binding, GO:0048565: digestive tract development, GO:0050777: negative regulation of immune response, GO:0071230: cellular response to amino acid stimulus</t>
  </si>
  <si>
    <t>16859_at</t>
  </si>
  <si>
    <t>GO:0002162: dystroglycan binding, GO:0003779: actin binding, GO:0005178: integrin binding, GO:0005515: protein binding, GO:0005634: nucleus, GO:0005737: cytoplasm, GO:0005856: cytoskeleton, GO:0005886: plasma membrane, GO:0006355: regulation of transcription, DNA-dependent, GO:0007517: muscle organ development, GO:0007519: skeletal muscle tissue development, GO:0007519: skeletal muscle tissue development, GO:0008065: establishment of blood-nerve barrier, GO:0008270: zinc ion binding, GO:0008307: structural constituent of muscle, GO:0009986: cell surface, GO:0010468: regulation of gene expression, GO:0014904: myotube cell development, GO:0016010: dystrophin-associated glycoprotein complex, GO:0016010: dystrophin-associated glycoprotein complex, GO:0016020: membrane, GO:0021629: olfactory nerve structural organization, GO:0030016: myofibril, GO:0030018: Z disc, GO:0030055: cell-substrate junction, GO:0030165: PDZ domain binding, GO:0032403: protein complex binding, GO:0042383: sarcolemma, GO:0042383: sarcolemma, GO:0043034: costamere, GO:0043043: peptide biosynthetic process, GO:0043234: protein complex, GO:0044306: neuron projection terminus, GO:0045121: membrane raft, GO:0045121: membrane raft, GO:0045202: synapse, GO:0045213: neurotransmitter receptor metabolic process, GO:0046716: muscle cell homeostasis, GO:0046872: metal ion binding, GO:0048747: muscle fiber development, GO:0048812: neuron projection morphogenesis, GO:0050998: nitric-oxide synthase binding, GO:0051647: nucleus localization, GO:0060857: establishment of glial blood-brain barrier</t>
  </si>
  <si>
    <t>05410: Hypertrophic cardiomyopathy (HCM), 05412: Arrhythmogenic right ventricular cardiomyopathy (ARVC), 05414: Dilated cardiomyopathy, 05416: Viral myocarditis</t>
  </si>
  <si>
    <t>58182_at</t>
  </si>
  <si>
    <t>prokineticin receptor 1</t>
  </si>
  <si>
    <t>GO:0004871: signal transducer activity, GO:0004930: G-protein coupled receptor activity, GO:0004930: G-protein coupled receptor activity, GO:0004983: neuropeptide Y receptor activity, GO:0005886: plasma membrane, GO:0006916: anti-apoptosis, GO:0007165: signal transduction, GO:0007186: G-protein coupled receptor signaling pathway, GO:0007186: G-protein coupled receptor signaling pathway, GO:0007218: neuropeptide signaling pathway, GO:0007268: synaptic transmission, GO:0007623: circadian rhythm, GO:0016020: membrane, GO:0016021: integral to membrane, GO:0060976: coronary vasculature development</t>
  </si>
  <si>
    <t>66270_at</t>
  </si>
  <si>
    <t>family with sequence similarity 134, member B</t>
  </si>
  <si>
    <t>GO:0003674: molecular_function, GO:0005794: Golgi apparatus, GO:0005801: cis-Golgi network, GO:0016020: membrane, GO:0016021: integral to membrane, GO:0019233: sensory perception of pain</t>
  </si>
  <si>
    <t>13120_at</t>
  </si>
  <si>
    <t>cytochrome P450, family 4, subfamily b, polypeptide 1</t>
  </si>
  <si>
    <t>GO:0004497: monooxygenase activity, GO:0005506: iron ion binding, GO:0005783: endoplasmic reticulum, GO:0006725: cellular aromatic compound metabolic process, GO:0008144: drug binding, GO:0009055: electron carrier activity, GO:0016020: membrane, GO:0016491: oxidoreductase activity, GO:0016705: oxidoreductase activity, acting on paired donors, with incorporation or reduction of molecular oxygen, GO:0018585: fluorene oxygenase activity, GO:0018879: biphenyl metabolic process, GO:0018917: fluorene metabolic process, GO:0020037: heme binding, GO:0042738: exogenous drug catabolic process, GO:0043231: intracellular membrane-bounded organelle, GO:0046872: metal ion binding, GO:0055114: oxidation-reduction process, GO:0070330: aromatase activity</t>
  </si>
  <si>
    <t>243043_at</t>
  </si>
  <si>
    <t>potassium channel tetramerisation domain containing 8</t>
  </si>
  <si>
    <t>GO:0003674: molecular_function, GO:0005886: plasma membrane, GO:0008277: regulation of G-protein coupled receptor protein signaling pathway, GO:0016020: membrane, GO:0030054: cell junction, GO:0043235: receptor complex, GO:0045202: synapse, GO:0045211: postsynaptic membrane, GO:0051260: protein homooligomerization</t>
  </si>
  <si>
    <t>66402_at</t>
  </si>
  <si>
    <t>sarcolipin</t>
  </si>
  <si>
    <t>GO:0005246: calcium channel regulator activity, GO:0006816: calcium ion transport, GO:0016020: membrane, GO:0016021: integral to membrane, GO:0016529: sarcoplasmic reticulum, GO:0030234: enzyme regulator activity, GO:0042030: ATPase inhibitor activity</t>
  </si>
  <si>
    <t>17684_at</t>
  </si>
  <si>
    <t>Cbp/p300-interacting transactivator, with Glu/Asp-rich carboxy-terminal domain, 2</t>
  </si>
  <si>
    <t>GO:0000122: negative regulation of transcription from RNA polymerase II promoter, GO:0001102: RNA polymerase II activating transcription factor binding, GO:0001105: RNA polymerase II transcription coactivator activity, GO:0001568: blood vessel development, GO:0001570: vasculogenesis, GO:0001666: response to hypoxia, GO:0001701: in utero embryonic development, GO:0001829: trophectodermal cell differentiation, GO:0001841: neural tube formation, GO:0001843: neural tube closure, GO:0001889: liver development, GO:0001892: embryonic placenta development, GO:0001944: vasculature development, GO:0001944: vasculature development, GO:0001947: heart looping, GO:0002089: lens morphogenesis in camera-type eye, GO:0002244: hemopoietic progenitor cell differentiation, GO:0002521: leukocyte differentiation, GO:0003151: outflow tract morphogenesis, GO:0003197: endocardial cushion development, GO:0003281: ventricular septum development, GO:0003682: chromatin binding, GO:0003712: transcription cofactor activity, GO:0003713: transcription coactivator activity, GO:0003714: transcription corepressor activity, GO:0005634: nucleus, GO:0005634: nucleus, GO:0005737: cytoplasm, GO:0006355: regulation of transcription, DNA-dependent, GO:0006357: regulation of transcription from RNA polymerase II promoter, GO:0007179: transforming growth factor beta receptor signaling pathway, GO:0007417: central nervous system development, GO:0007422: peripheral nervous system development, GO:0007507: heart development, GO:0008283: cell proliferation, GO:0008584: male gonad development, GO:0010628: positive regulation of gene expression, GO:0010629: negative regulation of gene expression, GO:0021602: cranial nerve morphogenesis, GO:0030325: adrenal gland development, GO:0030336: negative regulation of cell migration, GO:0030851: granulocyte differentiation, GO:0034405: response to fluid shear stress, GO:0035360: positive regulation of peroxisome proliferator activated receptor signaling pathway, GO:0043627: response to estrogen stimulus, GO:0045892: negative regulation of transcription, DNA-dependent, GO:0045893: positive regulation of transcription, DNA-dependent, GO:0046332: SMAD binding, GO:0046697: decidualization, GO:0048538: thymus development, GO:0048538: thymus development, GO:0048596: embryonic camera-type eye morphogenesis, GO:0048821: erythrocyte development, GO:0050693: LBD domain binding, GO:0060136: embryonic process involved in female pregnancy, GO:0060349: bone morphogenesis, GO:0060411: cardiac septum morphogenesis, GO:0061156: pulmonary artery morphogenesis, GO:0061308: cardiac neural crest cell development involved in heart development, GO:0061371: determination of heart left/right asymmetry</t>
  </si>
  <si>
    <t>12505_at</t>
  </si>
  <si>
    <t>CD44 antigen</t>
  </si>
  <si>
    <t>GO:0001558: regulation of cell growth, GO:0001658: branching involved in ureteric bud morphogenesis, GO:0002246: wound healing involved in inflammatory response, GO:0002821: positive regulation of adaptive immune response, GO:0002906: negative regulation of mature B cell apoptotic process, GO:0004415: hyalurononglucosaminidase activity, GO:0004888: transmembrane signaling receptor activity, GO:0005154: epidermal growth factor receptor binding, GO:0005515: protein binding, GO:0005540: hyaluronic acid binding, GO:0005540: hyaluronic acid binding, GO:0005540: hyaluronic acid binding, GO:0005634: nucleus, GO:0005737: cytoplasm, GO:0005794: Golgi apparatus, GO:0005886: plasma membrane, GO:0005886: plasma membrane, GO:0007155: cell adhesion, GO:0007155: cell adhesion, GO:0009897: external side of plasma membrane, GO:0009986: cell surface, GO:0009986: cell surface, GO:0010628: positive regulation of gene expression, GO:0016020: membrane, GO:0016021: integral to membrane, GO:0016055: Wnt receptor signaling pathway, GO:0016323: basolateral plasma membrane, GO:0016323: basolateral plasma membrane, GO:0016324: apical plasma membrane, GO:0016477: cell migration, GO:0019901: protein kinase binding, GO:0019955: cytokine binding, GO:0030214: hyaluronan catabolic process, GO:0031175: neuron projection development, GO:0033031: positive regulation of neutrophil apoptotic process, GO:0033138: positive regulation of peptidyl-serine phosphorylation, GO:0033138: positive regulation of peptidyl-serine phosphorylation, GO:0034116: positive regulation of heterotypic cell-cell adhesion, GO:0034238: macrophage fusion, GO:0043066: negative regulation of apoptotic process, GO:0043066: negative regulation of apoptotic process, GO:0043154: negative regulation of cysteine-type endopeptidase activity involved in apoptotic process, GO:0043234: protein complex, GO:0043518: negative regulation of DNA damage response, signal transduction by p53 class mediator, GO:0043518: negative regulation of DNA damage response, signal transduction by p53 class mediator, GO:0044344: cellular response to fibroblast growth factor stimulus, GO:0050731: positive regulation of peptidyl-tyrosine phosphorylation, GO:0050731: positive regulation of peptidyl-tyrosine phosphorylation, GO:0051219: phosphoprotein binding, GO:0060442: branching involved in prostate gland morphogenesis, GO:0070374: positive regulation of ERK1 and ERK2 cascade, GO:0070374: positive regulation of ERK1 and ERK2 cascade, GO:0070487: monocyte aggregation, GO:1900625: positive regulation of monocyte aggregation</t>
  </si>
  <si>
    <t>04512: ECM-receptor interaction, 04640: Hematopoietic cell lineage</t>
  </si>
  <si>
    <t>240638_at</t>
  </si>
  <si>
    <t>solute carrier family 16 (monocarboxylic acid transporters), member 12</t>
  </si>
  <si>
    <t>18760_at</t>
  </si>
  <si>
    <t>protein kinase D1</t>
  </si>
  <si>
    <t>GO:0000166: nucleotide binding, GO:0001525: angiogenesis, GO:0001938: positive regulation of endothelial cell proliferation, GO:0004672: protein kinase activity, GO:0004674: protein serine/threonine kinase activity, GO:0004697: protein kinase C activity, GO:0005524: ATP binding, GO:0005543: phospholipid binding, GO:0005622: intracellular, GO:0005634: nucleus, GO:0005737: cytoplasm, GO:0005737: cytoplasm, GO:0005794: Golgi apparatus, GO:0005802: trans-Golgi network, GO:0005802: trans-Golgi network, GO:0005829: cytosol, GO:0005886: plasma membrane, GO:0005886: plasma membrane, GO:0005911: cell-cell junction, GO:0005938: cell cortex, GO:0006468: protein phosphorylation, GO:0006915: apoptotic process, GO:0006954: inflammatory response, GO:0007030: Golgi organization, GO:0007243: intracellular protein kinase cascade, GO:0007399: nervous system development, GO:0010595: positive regulation of endothelial cell migration, GO:0010837: regulation of keratinocyte proliferation, GO:0010976: positive regulation of neuron projection development, GO:0016020: membrane, GO:0016301: kinase activity, GO:0016310: phosphorylation, GO:0016740: transferase activity, GO:0016772: transferase activity, transferring phosphorus-containing groups, GO:0018105: peptidyl-serine phosphorylation, GO:0030154: cell differentiation, GO:0032793: positive regulation of CREB transcription factor activity, GO:0034599: cellular response to oxidative stress, GO:0035556: intracellular signal transduction, GO:0035924: cellular response to vascular endothelial growth factor stimulus, GO:0043123: positive regulation of I-kappaB kinase/NF-kappaB cascade, GO:0043536: positive regulation of blood vessel endothelial cell migration, GO:0045087: innate immune response, GO:0045669: positive regulation of osteoblast differentiation, GO:0045766: positive regulation of angiogenesis, GO:0045944: positive regulation of transcription from RNA polymerase II promoter, GO:0046872: metal ion binding, GO:0048010: vascular endothelial growth factor receptor signaling pathway, GO:0048193: Golgi vesicle transport, GO:0051092: positive regulation of NF-kappaB transcription factor activity, GO:0060548: negative regulation of cell death, GO:2001028: positive regulation of endothelial cell chemotaxis</t>
  </si>
  <si>
    <t>glutathione S-transferase, theta 3</t>
  </si>
  <si>
    <t>GO:0004364: glutathione transferase activity, GO:0005575: cellular_component, GO:0006749: glutathione metabolic process, GO:0008152: metabolic process, GO:0016740: transferase activity</t>
  </si>
  <si>
    <t>330409_at</t>
  </si>
  <si>
    <t>cat eye syndrome chromosome region, candidate 2</t>
  </si>
  <si>
    <t>GO:0003674: molecular_function, GO:0005634: nucleus, GO:0005719: nuclear euchromatin, GO:0006915: apoptotic process</t>
  </si>
  <si>
    <t>353169_at</t>
  </si>
  <si>
    <t>solute carrier family 2 (facilitated glucose transporter), member 12</t>
  </si>
  <si>
    <t>GO:0003674: molecular_function, GO:0005215: transporter activity, GO:0006810: transport, GO:0008643: carbohydrate transport, GO:0016020: membrane, GO:0016021: integral to membrane, GO:0022857: transmembrane transporter activity, GO:0022891: substrate-specific transmembrane transporter activity, GO:0055085: transmembrane transport</t>
  </si>
  <si>
    <t>13537_at</t>
  </si>
  <si>
    <t>dual specificity phosphatase 2</t>
  </si>
  <si>
    <t>GO:0000188: inactivation of MAPK activity, GO:0001706: endoderm formation, GO:0004721: phosphoprotein phosphatase activity, GO:0004725: protein tyrosine phosphatase activity, GO:0005634: nucleus, GO:0005654: nucleoplasm, GO:0006470: protein dephosphorylation, GO:0008138: protein tyrosine/serine/threonine phosphatase activity, GO:0016311: dephosphorylation, GO:0016787: hydrolase activity, GO:0016791: phosphatase activity, GO:0017017: MAP kinase tyrosine/serine/threonine phosphatase activity, GO:0035335: peptidyl-tyrosine dephosphorylation, GO:0042981: regulation of apoptotic process, GO:0051019: mitogen-activated protein kinase binding</t>
  </si>
  <si>
    <t>04010: MAPK signaling pathway</t>
  </si>
  <si>
    <t>94214_at</t>
  </si>
  <si>
    <t>sparc/osteonectin, cwcv and kazal-like domains proteoglycan 2</t>
  </si>
  <si>
    <t>GO:0005509: calcium ion binding, GO:0005509: calcium ion binding, GO:0005539: glycosaminoglycan binding, GO:0005576: extracellular region, GO:0005578: proteinaceous extracellular matrix, GO:0007165: signal transduction, GO:0010811: positive regulation of cell-substrate adhesion, GO:0019800: peptide cross-linking via chondroitin 4-sulfate glycosaminoglycan, GO:0030198: extracellular matrix organization, GO:0050840: extracellular matrix binding</t>
  </si>
  <si>
    <t>93691_at</t>
  </si>
  <si>
    <t>Kruppel-like factor 7 (ubiquitous)</t>
  </si>
  <si>
    <t>GO:0003676: nucleic acid binding, GO:0003677: DNA binding, GO:0003677: DNA binding, GO:0003700: sequence-specific DNA binding transcription factor activity, GO:0005622: intracellular, GO:0005634: nucleus, GO:0006351: transcription, DNA-dependent, GO:0006355: regulation of transcription, DNA-dependent, GO:0007409: axonogenesis, GO:0007411: axon guidance, GO:0008270: zinc ion binding, GO:0045893: positive regulation of transcription, DNA-dependent, GO:0046872: metal ion binding, GO:0048813: dendrite morphogenesis</t>
  </si>
  <si>
    <t>76252_at</t>
  </si>
  <si>
    <t>ATPase, H+ transporting, lysosomal V0 subunit E2</t>
  </si>
  <si>
    <t>GO:0006810: transport, GO:0006811: ion transport, GO:0015078: hydrogen ion transmembrane transporter activity, GO:0015991: ATP hydrolysis coupled proton transport, GO:0015992: proton transport, GO:0016020: membrane, GO:0016021: integral to membrane, GO:0016049: cell growth, GO:0016787: hydrolase activity, GO:0033179: proton-transporting V-type ATPase, V0 domain</t>
  </si>
  <si>
    <t>00190: Oxidative phosphorylation, 01100: Metabolic pathways, 04145: Phagosome, 04966: Collecting duct acid secretion, 05323: Rheumatoid arthritis</t>
  </si>
  <si>
    <t>228366_at</t>
  </si>
  <si>
    <t>glycosyltransferase-like 1B</t>
  </si>
  <si>
    <t>GO:0003674: molecular_function, GO:0005575: cellular_component, GO:0005794: Golgi apparatus, GO:0008150: biological_process, GO:0008152: metabolic process, GO:0016020: membrane, GO:0016021: integral to membrane, GO:0016740: transferase activity, GO:0016757: transferase activity, transferring glycosyl groups</t>
  </si>
  <si>
    <t>216613_at</t>
  </si>
  <si>
    <t>103140_at</t>
  </si>
  <si>
    <t>protein tyrosine phosphatase, receptor type, E</t>
  </si>
  <si>
    <t>coiled-coil domain containing 85A</t>
  </si>
  <si>
    <t>224912_at</t>
  </si>
  <si>
    <t>crumbs homolog 3 (Drosophila)</t>
  </si>
  <si>
    <t>GO:0005886: plasma membrane, GO:0005923: tight junction, GO:0016020: membrane, GO:0016021: integral to membrane, GO:0016324: apical plasma membrane, GO:0017124: SH3 domain binding, GO:0019904: protein domain specific binding, GO:0030054: cell junction, GO:0043234: protein complex, GO:0045198: establishment of epithelial cell apical/basal polarity, GO:0045216: cell-cell junction organization, GO:0072659: protein localization to plasma membrane</t>
  </si>
  <si>
    <t>04530: Tight junction</t>
  </si>
  <si>
    <t>76560_at</t>
  </si>
  <si>
    <t>protease, serine, 8 (prostasin)</t>
  </si>
  <si>
    <t>GO:0001942: hair follicle development, GO:0005615: extracellular space, GO:0005886: plasma membrane, GO:0006508: proteolysis, GO:0008152: metabolic process, GO:0008233: peptidase activity, GO:0008236: serine-type peptidase activity, GO:0010765: positive regulation of sodium ion transport, GO:0016787: hydrolase activity, GO:0017080: sodium channel regulator activity</t>
  </si>
  <si>
    <t>16782_at</t>
  </si>
  <si>
    <t>laminin, gamma 2</t>
  </si>
  <si>
    <t>GO:0005515: protein binding, GO:0005578: proteinaceous extracellular matrix, GO:0005604: basement membrane, GO:0005607: laminin-2 complex, GO:0005610: laminin-5 complex, GO:0005615: extracellular space, GO:0005938: cell cortex, GO:0008201: heparin binding, GO:0048471: perinuclear region of cytoplasm</t>
  </si>
  <si>
    <t>20972_at</t>
  </si>
  <si>
    <t>synaptogyrin 1</t>
  </si>
  <si>
    <t>GO:0006605: protein targeting, GO:0008021: synaptic vesicle, GO:0016020: membrane, GO:0016021: integral to membrane, GO:0030054: cell junction, GO:0030672: synaptic vesicle membrane, GO:0045202: synapse, GO:0048169: regulation of long-term neuronal synaptic plasticity, GO:0048172: regulation of short-term neuronal synaptic plasticity</t>
  </si>
  <si>
    <t>20388_at</t>
  </si>
  <si>
    <t>surfactant associated protein B</t>
  </si>
  <si>
    <t>GO:0000226: microtubule cytoskeleton organization, GO:0003779: actin binding, GO:0005515: protein binding, GO:0005737: cytoplasm, GO:0005856: cytoskeleton, GO:0005874: microtubule, GO:0006810: transport, GO:0007032: endosome organization, GO:0007040: lysosome organization, GO:0007275: multicellular organismal development, GO:0007283: spermatogenesis, GO:0007286: spermatid development, GO:0008017: microtubule binding, GO:0008017: microtubule binding, GO:0008333: endosome to lysosome transport, GO:0015031: protein transport, GO:0030154: cell differentiation, GO:0042802: identical protein binding, GO:0045022: early endosome to late endosome transport, GO:0070695: FHF complex</t>
  </si>
  <si>
    <t>14164_at</t>
  </si>
  <si>
    <t>fibroblast growth factor 1</t>
  </si>
  <si>
    <t>GO:0005576: extracellular region, GO:0005615: extracellular space, GO:0005737: cytoplasm, GO:0005764: lysosome, GO:0005771: multivesicular body, GO:0006629: lipid metabolic process, GO:0006665: sphingolipid metabolic process, GO:0007585: respiratory gaseous exchange, GO:0097208: alveolar lamellar body</t>
  </si>
  <si>
    <t>16669_at</t>
  </si>
  <si>
    <t>keratin 19</t>
  </si>
  <si>
    <t>GO:0005198: structural molecule activity, GO:0005882: intermediate filament, GO:0008307: structural constituent of muscle, GO:0016010: dystrophin-associated glycoprotein complex, GO:0030018: Z disc, GO:0032403: protein complex binding, GO:0042383: sarcolemma, GO:0043034: costamere, GO:0045214: sarcomere organization, GO:0060706: cell differentiation involved in embryonic placenta development, GO:0071944: cell periphery</t>
  </si>
  <si>
    <t>20725_at</t>
  </si>
  <si>
    <t>serine (or cysteine) peptidase inhibitor, clade B, member 8</t>
  </si>
  <si>
    <t>GO:0004867: serine-type endopeptidase inhibitor activity, GO:0004867: serine-type endopeptidase inhibitor activity, GO:0005737: cytoplasm, GO:0005829: cytosol, GO:0010466: negative regulation of peptidase activity, GO:0010951: negative regulation of endopeptidase activity, GO:0010951: negative regulation of endopeptidase activity, GO:0030162: regulation of proteolysis, GO:0030414: peptidase inhibitor activity</t>
  </si>
  <si>
    <t>19267_at</t>
  </si>
  <si>
    <t>GO:0004721: phosphoprotein phosphatase activity, GO:0004725: protein tyrosine phosphatase activity, GO:0005634: nucleus, GO:0005737: cytoplasm, GO:0005737: cytoplasm, GO:0005886: plasma membrane, GO:0005886: plasma membrane, GO:0006468: protein phosphorylation, GO:0006470: protein dephosphorylation, GO:0007185: transmembrane receptor protein tyrosine phosphatase signaling pathway, GO:0016020: membrane, GO:0016021: integral to membrane, GO:0016311: dephosphorylation, GO:0016787: hydrolase activity, GO:0016791: phosphatase activity, GO:0033003: regulation of mast cell activation, GO:0035335: peptidyl-tyrosine dephosphorylation, GO:0042803: protein homodimerization activity, GO:0045111: intermediate filament cytoskeleton, GO:0046627: negative regulation of insulin receptor signaling pathway, GO:0046627: negative regulation of insulin receptor signaling pathway</t>
  </si>
  <si>
    <t>239857_at</t>
  </si>
  <si>
    <t>cell adhesion molecule 2</t>
  </si>
  <si>
    <t>GO:0005515: protein binding, GO:0005737: cytoplasm, GO:0005886: plasma membrane, GO:0007155: cell adhesion, GO:0016020: membrane, GO:0016021: integral to membrane, GO:0030054: cell junction, GO:0030424: axon, GO:0032809: neuronal cell body membrane, GO:0042995: cell projection, GO:0045202: synapse</t>
  </si>
  <si>
    <t>77963_at</t>
  </si>
  <si>
    <t>hook homolog 1 (Drosophila)</t>
  </si>
  <si>
    <t>GO:0000166: nucleotide binding, GO:0003777: microtubule motor activity, GO:0005524: ATP binding, GO:0005737: cytoplasm, GO:0005856: cytoskeleton, GO:0005874: microtubule, GO:0007018: microtubule-based movement, GO:0008152: metabolic process, GO:0042995: cell projection</t>
  </si>
  <si>
    <t>114249_at</t>
  </si>
  <si>
    <t>nephronectin</t>
  </si>
  <si>
    <t>GO:0001525: angiogenesis, GO:0001759: organ induction, GO:0001934: positive regulation of protein phosphorylation, GO:0005104: fibroblast growth factor receptor binding, GO:0005515: protein binding, GO:0005576: extracellular region, GO:0005576: extracellular region, GO:0005578: proteinaceous extracellular matrix, GO:0005615: extracellular space, GO:0005615: extracellular space, GO:0005634: nucleus, GO:0005730: nucleolus, GO:0005737: cytoplasm, GO:0005829: cytosol, GO:0007275: multicellular organismal development, GO:0008083: growth factor activity, GO:0008201: heparin binding, GO:0008284: positive regulation of cell proliferation, GO:0008543: fibroblast growth factor receptor signaling pathway, GO:0010740: positive regulation of intracellular protein kinase cascade, GO:0030154: cell differentiation, GO:0030324: lung development, GO:0030335: positive regulation of cell migration, GO:0030544: Hsp70 protein binding, GO:0034605: cellular response to heat, GO:0044548: S100 protein binding, GO:0045542: positive regulation of cholesterol biosynthetic process, GO:0045766: positive regulation of angiogenesis, GO:0045893: positive regulation of transcription, DNA-dependent, GO:0045944: positive regulation of transcription from RNA polymerase II promoter, GO:0045944: positive regulation of transcription from RNA polymerase II promoter, GO:0050679: positive regulation of epithelial cell proliferation, GO:0051781: positive regulation of cell division, GO:0060038: cardiac muscle cell proliferation, GO:0060681: branch elongation involved in ureteric bud branching, GO:0060979: vasculogenesis involved in coronary vascular morphogenesis, GO:0072163: mesonephric epithelium development</t>
  </si>
  <si>
    <t>20502_at</t>
  </si>
  <si>
    <t>solute carrier family 16 (monocarboxylic acid transporters), member 2</t>
  </si>
  <si>
    <t>GO:0001657: ureteric bud development, GO:0001658: branching involved in ureteric bud morphogenesis, GO:0005178: integrin binding, GO:0005178: integrin binding, GO:0005509: calcium ion binding, GO:0005576: extracellular region, GO:0005578: proteinaceous extracellular matrix, GO:0005578: proteinaceous extracellular matrix, GO:0005604: basement membrane, GO:0007155: cell adhesion, GO:0007160: cell-matrix adhesion, GO:0007160: cell-matrix adhesion, GO:0007275: multicellular organismal development, GO:0010694: positive regulation of alkaline phosphatase activity, GO:0010811: positive regulation of cell-substrate adhesion, GO:0016020: membrane, GO:0030154: cell differentiation, GO:0030198: extracellular matrix organization, GO:0030485: smooth muscle contractile fiber, GO:0030511: positive regulation of transforming growth factor beta receptor signaling pathway, GO:0031012: extracellular matrix, GO:0033631: cell-cell adhesion mediated by integrin, GO:0034678: alpha8-beta1 integrin complex, GO:0045184: establishment of protein localization, GO:0045669: positive regulation of osteoblast differentiation, GO:0045987: positive regulation of smooth muscle contraction, GO:0070374: positive regulation of ERK1 and ERK2 cascade, GO:0071356: cellular response to tumor necrosis factor, GO:0097195: pilomotor reflex, GO:2000721: positive regulation of transcription from RNA polymerase II promoter involved in smooth muscle cell differentiation</t>
  </si>
  <si>
    <t>04512: ECM-receptor interaction</t>
  </si>
  <si>
    <t>101240_at</t>
  </si>
  <si>
    <t>WD repeat domain 91</t>
  </si>
  <si>
    <t>73191_at</t>
  </si>
  <si>
    <t>Fez family zinc finger 1</t>
  </si>
  <si>
    <t>GO:0003333: amino acid transmembrane transport, GO:0005886: plasma membrane, GO:0006810: transport, GO:0009914: hormone transport, GO:0015293: symporter activity, GO:0015349: thyroid hormone transmembrane transporter activity, GO:0015837: amine transport, GO:0016020: membrane, GO:0016021: integral to membrane, GO:0055085: transmembrane transport, GO:0070327: thyroid hormone transport</t>
  </si>
  <si>
    <t>16564_at</t>
  </si>
  <si>
    <t>kinesin family member 21A</t>
  </si>
  <si>
    <t>GO:0000122: negative regulation of transcription from RNA polymerase II promoter, GO:0000978: RNA polymerase II core promoter proximal region sequence-specific DNA binding, GO:0001764: neuron migration, GO:0003676: nucleic acid binding, GO:0003677: DNA binding, GO:0005622: intracellular, GO:0005634: nucleus, GO:0006351: transcription, DNA-dependent, GO:0006355: regulation of transcription, DNA-dependent, GO:0007275: multicellular organismal development, GO:0007399: nervous system development, GO:0007411: axon guidance, GO:0008270: zinc ion binding, GO:0008285: negative regulation of cell proliferation, GO:0021537: telencephalon development, GO:0021772: olfactory bulb development, GO:0021797: forebrain anterior/posterior pattern specification, GO:0030154: cell differentiation, GO:0030900: forebrain development, GO:0045666: positive regulation of neuron differentiation, GO:0045893: positive regulation of transcription, DNA-dependent, GO:0046872: metal ion binding</t>
  </si>
  <si>
    <t>77531_at</t>
  </si>
  <si>
    <t>ankyrin repeat and sterile alpha motif domain containing 1B</t>
  </si>
  <si>
    <t>GO:0005575: cellular_component, GO:0005634: nucleus, GO:0005737: cytoplasm, GO:0005886: plasma membrane, GO:0008150: biological_process, GO:0016020: membrane, GO:0030054: cell junction, GO:0042995: cell projection, GO:0045202: synapse, GO:0045211: postsynaptic membrane, GO:0046875: ephrin receptor binding</t>
  </si>
  <si>
    <t>18510_at</t>
  </si>
  <si>
    <t>paired box gene 8</t>
  </si>
  <si>
    <t>GO:0000979: RNA polymerase II core promoter sequence-specific DNA binding, GO:0001077: RNA polymerase II core promoter proximal region sequence-specific DNA binding transcription factor activity involved in positive regulation of transcription, GO:0001655: urogenital system development, GO:0001656: metanephros development, GO:0001823: mesonephros development, GO:0003677: DNA binding, GO:0003677: DNA binding, GO:0003700: sequence-specific DNA binding transcription factor activity, GO:0003700: sequence-specific DNA binding transcription factor activity, GO:0005515: protein binding, GO:0005634: nucleus, GO:0005634: nucleus, GO:0005654: nucleoplasm, GO:0005667: transcription factor complex, GO:0006351: transcription, DNA-dependent, GO:0006351: transcription, DNA-dependent, GO:0006355: regulation of transcription, DNA-dependent, GO:0006355: regulation of transcription, DNA-dependent, GO:0007275: multicellular organismal development, GO:0009887: organ morphogenesis, GO:0030154: cell differentiation, GO:0030878: thyroid gland development, GO:0030878: thyroid gland development, GO:0030878: thyroid gland development, GO:0042472: inner ear morphogenesis, GO:0042981: regulation of apoptotic process, GO:0043565: sequence-specific DNA binding, GO:0044212: transcription regulatory region DNA binding, GO:0044212: transcription regulatory region DNA binding, GO:0045893: positive regulation of transcription, DNA-dependent, GO:0045893: positive regulation of transcription, DNA-dependent, GO:0045893: positive regulation of transcription, DNA-dependent, GO:0045893: positive regulation of transcription, DNA-dependent, GO:0045944: positive regulation of transcription from RNA polymerase II promoter, GO:0048793: pronephros development, GO:0071371: cellular response to gonadotropin stimulus, GO:0072108: positive regulation of mesenchymal to epithelial transition involved in metanephros morphogenesis, GO:0072221: metanephric distal convoluted tubule development, GO:0072289: metanephric nephron tubule formation, GO:0072305: negative regulation of mesenchymal cell apoptotic process involved in metanephric nephron morphogenesis, GO:0072307: regulation of metanephric nephron tubule epithelial cell differentiation, GO:0090190: positive regulation of branching involved in ureteric bud morphogenesis, GO:1900212: negative regulation of mesenchymal cell apoptotic process involved in metanephros development, GO:1900215: negative regulation of apoptotic process involved in metanephric collecting duct development, GO:1900218: negative regulation of apoptotic process involved in metanephric nephron tubule development, GO:2000594: positive regulation of metanephric DCT cell differentiation, GO:2000611: positive regulation of thyroid hormone generation, GO:2000611: positive regulation of thyroid hormone generation, GO:2000612: regulation of thyroid-stimulating hormone secretion</t>
  </si>
  <si>
    <t>00531: Glycosaminoglycan degradation, 01100: Metabolic pathways</t>
  </si>
  <si>
    <t>381373_at</t>
  </si>
  <si>
    <t>trans-acting transcription factor 9</t>
  </si>
  <si>
    <t>GO:0003676: nucleic acid binding, GO:0003677: DNA binding, GO:0005622: intracellular, GO:0005634: nucleus, GO:0006351: transcription, DNA-dependent, GO:0006355: regulation of transcription, DNA-dependent, GO:0008270: zinc ion binding, GO:0030326: embryonic limb morphogenesis, GO:0046872: metal ion binding</t>
  </si>
  <si>
    <t>19713_at</t>
  </si>
  <si>
    <t>ret proto-oncogene</t>
  </si>
  <si>
    <t>05200: Pathways in cancer, 05216: Thyroid cancer</t>
  </si>
  <si>
    <t>99887_at</t>
  </si>
  <si>
    <t>transmembrane protein 56</t>
  </si>
  <si>
    <t>103978_at</t>
  </si>
  <si>
    <t>glypican 5</t>
  </si>
  <si>
    <t>GO:0005576: extracellular region, GO:0005578: proteinaceous extracellular matrix, GO:0005886: plasma membrane, GO:0005887: integral to plasma membrane, GO:0016020: membrane, GO:0031225: anchored to membrane, GO:0043395: heparan sulfate proteoglycan binding</t>
  </si>
  <si>
    <t>15442_at</t>
  </si>
  <si>
    <t>heparanase</t>
  </si>
  <si>
    <t>GO:0003824: catalytic activity, GO:0005576: extracellular region, GO:0005578: proteinaceous extracellular matrix, GO:0005634: nucleus, GO:0005634: nucleus, GO:0005764: lysosome, GO:0005975: carbohydrate metabolic process, GO:0007155: cell adhesion, GO:0007160: cell-matrix adhesion, GO:0010575: positive regulation vascular endothelial growth factor production, GO:0016020: membrane, GO:0016787: hydrolase activity, GO:0016798: hydrolase activity, acting on glycosyl bonds, GO:0030194: positive regulation of blood coagulation, GO:0030200: heparan sulfate proteoglycan catabolic process, GO:0030305: heparanase activity, GO:0033690: positive regulation of osteoblast proliferation, GO:0033690: positive regulation of osteoblast proliferation, GO:0042060: wound healing, GO:0043169: cation binding, GO:0045121: membrane raft, GO:0045545: syndecan binding, GO:0046983: protein dimerization activity, GO:0051797: regulation of hair follicle development, GO:0051798: positive regulation of hair follicle development, GO:0051897: positive regulation of protein kinase B signaling cascade, GO:0051897: positive regulation of protein kinase B signaling cascade, GO:0060055: angiogenesis involved in wound healing, GO:0061042: vascular wound healing</t>
  </si>
  <si>
    <t>GO:0000165: MAPK cascade, GO:0000166: nucleotide binding, GO:0001657: ureteric bud development, GO:0001755: neural crest cell migration, GO:0001838: embryonic epithelial tube formation, GO:0001838: embryonic epithelial tube formation, GO:0004672: protein kinase activity, GO:0004713: protein tyrosine kinase activity, GO:0004714: transmembrane receptor protein tyrosine kinase activity, GO:0005509: calcium ion binding, GO:0005515: protein binding, GO:0005524: ATP binding, GO:0005622: intracellular, GO:0005768: endosome, GO:0005886: plasma membrane, GO:0005887: integral to plasma membrane, GO:0006468: protein phosphorylation, GO:0007155: cell adhesion, GO:0007156: homophilic cell adhesion, GO:0007158: neuron cell-cell adhesion, GO:0007158: neuron cell-cell adhesion, GO:0007169: transmembrane receptor protein tyrosine kinase signaling pathway, GO:0007399: nervous system development, GO:0009653: anatomical structure morphogenesis, GO:0010008: endosome membrane, GO:0010976: positive regulation of neuron projection development, GO:0014042: positive regulation of neuron maturation, GO:0016020: membrane, GO:0016021: integral to membrane, GO:0016301: kinase activity, GO:0016310: phosphorylation, GO:0016740: transferase activity, GO:0016772: transferase activity, transferring phosphorus-containing groups, GO:0030155: regulation of cell adhesion, GO:0030335: positive regulation of cell migration, GO:0033619: membrane protein proteolysis, GO:0033630: positive regulation of cell adhesion mediated by integrin, GO:0035799: ureter maturation, GO:0042551: neuron maturation, GO:0045121: membrane raft, GO:0045893: positive regulation of transcription, DNA-dependent, GO:0048265: response to pain, GO:0048484: enteric nervous system development, GO:0060384: innervation, GO:0061146: Peyer's patch morphogenesis, GO:0071300: cellular response to retinoic acid, GO:0072300: positive regulation of metanephric glomerulus development, GO:2001241: positive regulation of extrinsic apoptotic signaling pathway in absence of ligand</t>
  </si>
  <si>
    <t>270672_at</t>
  </si>
  <si>
    <t>mitogen-activated protein kinase kinase kinase 15</t>
  </si>
  <si>
    <t>GO:0000166: nucleotide binding, GO:0000186: activation of MAPKK activity, GO:0004672: protein kinase activity, GO:0004674: protein serine/threonine kinase activity, GO:0004709: MAP kinase kinase kinase activity, GO:0005524: ATP binding, GO:0005575: cellular_component, GO:0006468: protein phosphorylation, GO:0016301: kinase activity, GO:0016310: phosphorylation, GO:0016740: transferase activity, GO:0016772: transferase activity, transferring phosphorus-containing groups, GO:0046872: metal ion binding</t>
  </si>
  <si>
    <t>226419_at</t>
  </si>
  <si>
    <t>dual-specificity tyrosine-(Y)-phosphorylation regulated kinase 3</t>
  </si>
  <si>
    <t>GO:0000166: nucleotide binding, GO:0000287: magnesium ion binding, GO:0000287: magnesium ion binding, GO:0004672: protein kinase activity, GO:0004672: protein kinase activity, GO:0004674: protein serine/threonine kinase activity, GO:0004712: protein serine/threonine/tyrosine kinase activity, GO:0004713: protein tyrosine kinase activity, GO:0005515: protein binding, GO:0005524: ATP binding, GO:0005524: ATP binding, GO:0005634: nucleus, GO:0006468: protein phosphorylation, GO:0006468: protein phosphorylation, GO:0016301: kinase activity, GO:0016310: phosphorylation, GO:0016740: transferase activity, GO:0016772: transferase activity, transferring phosphorus-containing groups, GO:0018108: peptidyl-tyrosine phosphorylation, GO:0030218: erythrocyte differentiation, GO:0030218: erythrocyte differentiation, GO:0046872: metal ion binding</t>
  </si>
  <si>
    <t>21912_at</t>
  </si>
  <si>
    <t>tetraspanin 7</t>
  </si>
  <si>
    <t>cDNA sequence CK137956</t>
  </si>
  <si>
    <t>14706_at</t>
  </si>
  <si>
    <t>guanine nucleotide binding protein (G protein), gamma 4</t>
  </si>
  <si>
    <t>GO:0000122: negative regulation of transcription from RNA polymerase II promoter, GO:0000122: negative regulation of transcription from RNA polymerase II promoter, GO:0000981: sequence-specific DNA binding RNA polymerase II transcription factor activity, GO:0002089: lens morphogenesis in camera-type eye, GO:0003677: DNA binding, GO:0003690: double-stranded DNA binding, GO:0003690: double-stranded DNA binding, GO:0003700: sequence-specific DNA binding transcription factor activity, GO:0003705: RNA polymerase II distal enhancer sequence-specific DNA binding transcription factor activity, GO:0005634: nucleus, GO:0005667: transcription factor complex, GO:0006351: transcription, DNA-dependent, GO:0006355: regulation of transcription, DNA-dependent, GO:0006366: transcription from RNA polymerase II promoter, GO:0006590: thyroid hormone generation, GO:0007389: pattern specification process, GO:0008134: transcription factor binding, GO:0008301: DNA binding, bending, GO:0016477: cell migration, GO:0030878: thyroid gland development, GO:0030878: thyroid gland development, GO:0031069: hair follicle morphogenesis, GO:0043565: sequence-specific DNA binding, GO:0045893: positive regulation of transcription, DNA-dependent, GO:0045944: positive regulation of transcription from RNA polymerase II promoter, GO:0048562: embryonic organ morphogenesis, GO:0051090: regulation of sequence-specific DNA binding transcription factor activity, GO:0060022: hard palate development, GO:0060022: hard palate development, GO:0060023: soft palate development, GO:0060023: soft palate development</t>
  </si>
  <si>
    <t>18802_at</t>
  </si>
  <si>
    <t>GO:0003924: GTPase activity, GO:0004871: signal transducer activity, GO:0005834: heterotrimeric G-protein complex, GO:0005886: plasma membrane, GO:0007165: signal transduction, GO:0007186: G-protein coupled receptor signaling pathway, GO:0016020: membrane, GO:0030308: negative regulation of cell growth</t>
  </si>
  <si>
    <t>110805_at</t>
  </si>
  <si>
    <t>forkhead box E1</t>
  </si>
  <si>
    <t>04144: Endocytosis, 05200: Pathways in cancer, 05216: Thyroid cancer</t>
  </si>
  <si>
    <t>GO:0004871: signal transducer activity, GO:0004930: G-protein coupled receptor activity, GO:0004983: neuropeptide Y receptor activity, GO:0005886: plasma membrane, GO:0007165: signal transduction, GO:0007186: G-protein coupled receptor signaling pathway, GO:0007218: neuropeptide signaling pathway, GO:0007268: synaptic transmission, GO:0016020: membrane, GO:0016021: integral to membrane</t>
  </si>
  <si>
    <t>GO:0004435: phosphatidylinositol phospholipase C activity, GO:0004629: phospholipase C activity, GO:0004871: signal transducer activity, GO:0005509: calcium ion binding, GO:0005543: phospholipid binding, GO:0005622: intracellular, GO:0005623: cell, GO:0005634: nucleus, GO:0005737: cytoplasm, GO:0005783: endoplasmic reticulum, GO:0006629: lipid metabolic process, GO:0007165: signal transduction, GO:0007340: acrosome reaction, GO:0008081: phosphoric diester hydrolase activity, GO:0008152: metabolic process, GO:0016020: membrane, GO:0016042: lipid catabolic process, GO:0016787: hydrolase activity, GO:0035556: intracellular signal transduction, GO:0046488: phosphatidylinositol metabolic process, GO:0046872: metal ion binding</t>
  </si>
  <si>
    <t>381925_at</t>
  </si>
  <si>
    <t>phosphatidic acid phosphatase type 2 domain containing 1A</t>
  </si>
  <si>
    <t>GO:0003824: catalytic activity, GO:0005575: cellular_component, GO:0008152: metabolic process, GO:0008195: phosphatidate phosphatase activity, GO:0016020: membrane, GO:0016021: integral to membrane, GO:0016787: hydrolase activity, GO:0046839: phospholipid dephosphorylation</t>
  </si>
  <si>
    <t>654824_at</t>
  </si>
  <si>
    <t>ankyrin repeat domain 37</t>
  </si>
  <si>
    <t>GO:0005515: protein binding, GO:0005634: nucleus, GO:0005737: cytoplasm, GO:0008150: biological_process</t>
  </si>
  <si>
    <t>18159_at</t>
  </si>
  <si>
    <t>natriuretic peptide type C</t>
  </si>
  <si>
    <t>GO:0016020: membrane, GO:0016021: integral to membrane</t>
  </si>
  <si>
    <t>229214_at</t>
  </si>
  <si>
    <t>pyroglutamylated RFamide peptide receptor</t>
  </si>
  <si>
    <t>20856_at</t>
  </si>
  <si>
    <t>stanniocalcin 2</t>
  </si>
  <si>
    <t>GO:0003674: molecular_function, GO:0005179: hormone activity, GO:0005576: extracellular region, GO:0008150: biological_process</t>
  </si>
  <si>
    <t>635169_at</t>
  </si>
  <si>
    <t>GO:0001503: ossification, GO:0003418: growth plate cartilage chondrocyte differentiation, GO:0003419: growth plate cartilage chondrocyte proliferation, GO:0005102: receptor binding, GO:0005102: receptor binding, GO:0005179: hormone activity, GO:0005184: neuropeptide hormone activity, GO:0005576: extracellular region, GO:0005615: extracellular space, GO:0006182: cGMP biosynthetic process, GO:0006182: cGMP biosynthetic process, GO:0006182: cGMP biosynthetic process, GO:0007168: receptor guanylyl cyclase signaling pathway, GO:0008285: negative regulation of cell proliferation, GO:0009791: post-embryonic development, GO:0030828: positive regulation of cGMP biosynthetic process, GO:0040014: regulation of multicellular organism growth, GO:0042803: protein homodimerization activity, GO:0045669: positive regulation of osteoblast differentiation, GO:0045909: positive regulation of vasodilation, GO:0048513: organ development, GO:0050880: regulation of blood vessel size, GO:0051053: negative regulation of DNA metabolic process, GO:0051428: peptide hormone receptor binding</t>
  </si>
  <si>
    <t>18828_at</t>
  </si>
  <si>
    <t>phospholipid scramblase 2</t>
  </si>
  <si>
    <t>GO:0005515: protein binding, GO:0005634: nucleus, GO:0005737: cytoplasm, GO:0016020: membrane, GO:0016021: integral to membrane, GO:0017124: SH3 domain binding</t>
  </si>
  <si>
    <t>231162_at</t>
  </si>
  <si>
    <t>cytokine-like 1</t>
  </si>
  <si>
    <t>GO:0002062: chondrocyte differentiation, GO:0005575: cellular_component, GO:0045944: positive regulation of transcription from RNA polymerase II promoter, GO:0048839: inner ear development, GO:0050650: chondroitin sulfate proteoglycan biosynthetic process, GO:0051091: positive regulation of sequence-specific DNA binding transcription factor activity</t>
  </si>
  <si>
    <t>16840_at</t>
  </si>
  <si>
    <t>leukocyte cell derived chemotaxin 1</t>
  </si>
  <si>
    <t>phospholipase C, delta 4</t>
  </si>
  <si>
    <t>GO:0001886: endothelial cell morphogenesis, GO:0001937: negative regulation of endothelial cell proliferation, GO:0005576: extracellular region, GO:0007275: multicellular organismal development, GO:0016020: membrane, GO:0016021: integral to membrane, GO:0016525: negative regulation of angiogenesis, GO:0016525: negative regulation of angiogenesis, GO:0016525: negative regulation of angiogenesis, GO:0030154: cell differentiation, GO:0030948: negative regulation of vascular endothelial growth factor receptor signaling pathway, GO:0045778: positive regulation of ossification, GO:0051216: cartilage development</t>
  </si>
  <si>
    <t>11829_at</t>
  </si>
  <si>
    <t>aquaporin 4</t>
  </si>
  <si>
    <t>NK-3 transcription factor, locus 1 (Drosophila)</t>
  </si>
  <si>
    <t>GO:0005215: transporter activity, GO:0005737: cytoplasm, GO:0005737: cytoplasm, GO:0005886: plasma membrane, GO:0005886: plasma membrane, GO:0005887: integral to plasma membrane, GO:0005887: integral to plasma membrane, GO:0005911: cell-cell junction, GO:0006810: transport, GO:0006833: water transport, GO:0006833: water transport, GO:0006833: water transport, GO:0007605: sensory perception of sound, GO:0009897: external side of plasma membrane, GO:0015250: water channel activity, GO:0015250: water channel activity, GO:0015288: porin activity, GO:0015670: carbon dioxide transport, GO:0016020: membrane, GO:0016021: integral to membrane, GO:0016323: basolateral plasma membrane, GO:0030104: water homeostasis, GO:0030104: water homeostasis, GO:0030315: T-tubule, GO:0042383: sarcolemma, GO:0043234: protein complex, GO:0051260: protein homooligomerization, GO:0055085: transmembrane transport, GO:0070295: renal water absorption, GO:0070295: renal water absorption, GO:0071346: cellular response to interferon-gamma</t>
  </si>
  <si>
    <t>04962: Vasopressin-regulated water reabsorption, 04976: Bile secretion</t>
  </si>
  <si>
    <t>228576_at</t>
  </si>
  <si>
    <t>mal, T cell differentiation protein-like</t>
  </si>
  <si>
    <t>GO:0000139: Golgi membrane, GO:0003674: molecular_function, GO:0005886: plasma membrane, GO:0008150: biological_process, GO:0016020: membrane, GO:0016021: integral to membrane, GO:0016023: cytoplasmic membrane-bounded vesicle, GO:0030136: clathrin-coated vesicle, GO:0045121: membrane raft</t>
  </si>
  <si>
    <t>244237_at</t>
  </si>
  <si>
    <t>tumor necrosis factor receptor superfamily, member 26</t>
  </si>
  <si>
    <t>66811_at</t>
  </si>
  <si>
    <t>dual oxidase maturation factor 2</t>
  </si>
  <si>
    <t>GO:0003674: molecular_function, GO:0005575: cellular_component, GO:0005783: endoplasmic reticulum, GO:0005789: endoplasmic reticulum membrane, GO:0006810: transport, GO:0008150: biological_process, GO:0015031: protein transport, GO:0016020: membrane, GO:0016021: integral to membrane</t>
  </si>
  <si>
    <t>12424_at</t>
  </si>
  <si>
    <t>cholecystokinin</t>
  </si>
  <si>
    <t>GO:0001662: behavioral fear response, GO:0001764: neuron migration, GO:0001836: release of cytochrome c from mitochondria, GO:0003677: DNA binding, GO:0005179: hormone activity, GO:0005184: neuropeptide hormone activity, GO:0005184: neuropeptide hormone activity, GO:0005515: protein binding, GO:0005576: extracellular region, GO:0005615: extracellular space, GO:0006915: apoptotic process, GO:0006919: activation of cysteine-type endopeptidase activity involved in apoptotic process, GO:0007205: protein kinase C-activating G-protein coupled receptor signaling pathway, GO:0007409: axonogenesis, GO:0008284: positive regulation of cell proliferation, GO:0030424: axon, GO:0030425: dendrite, GO:0032099: negative regulation of appetite, GO:0032461: positive regulation of protein oligomerization, GO:0042755: eating behavior, GO:0042755: eating behavior, GO:0043025: neuronal cell body, GO:0043065: positive regulation of apoptotic process, GO:0043194: axon initial segment, GO:0043195: terminal button, GO:0043203: axon hillock, GO:0043204: perikaryon, GO:0050731: positive regulation of peptidyl-tyrosine phosphorylation, GO:0051901: positive regulation of mitochondrial depolarization, GO:0051930: regulation of sensory perception of pain</t>
  </si>
  <si>
    <t>18095_at</t>
  </si>
  <si>
    <t>GO:0000976: transcription regulatory region sequence-specific DNA binding, GO:0000983: RNA polymerase II core promoter sequence-specific DNA binding transcription factor activity, GO:0000988: protein binding transcription factor activity, GO:0001047: core promoter binding, GO:0001655: urogenital system development, GO:0001934: positive regulation of protein phosphorylation, GO:0003677: DNA binding, GO:0003700: sequence-specific DNA binding transcription factor activity, GO:0003700: sequence-specific DNA binding transcription factor activity, GO:0004882: androgen receptor activity, GO:0005515: protein binding, GO:0005622: intracellular, GO:0005622: intracellular, GO:0005622: intracellular, GO:0005634: nucleus, GO:0005634: nucleus, GO:0006351: transcription, DNA-dependent, GO:0006355: regulation of transcription, DNA-dependent, GO:0006919: activation of cysteine-type endopeptidase activity involved in apoptotic process, GO:0007275: multicellular organismal development, GO:0007431: salivary gland development, GO:0008134: transcription factor binding, GO:0008134: transcription factor binding, GO:0008134: transcription factor binding, GO:0008284: positive regulation of cell proliferation, GO:0008285: negative regulation of cell proliferation, GO:0008285: negative regulation of cell proliferation, GO:0008633: activation of pro-apoptotic gene products, GO:0010628: positive regulation of gene expression, GO:0010942: positive regulation of cell death, GO:0014068: positive regulation of phosphatidylinositol 3-kinase cascade, GO:0030284: estrogen receptor activity, GO:0030295: protein kinase activator activity, GO:0030331: estrogen receptor binding, GO:0030521: androgen receptor signaling pathway, GO:0030850: prostate gland development, GO:0033574: response to testosterone stimulus, GO:0035260: internal genitalia morphogenesis, GO:0042826: histone deacetylase binding, GO:0043280: positive regulation of cysteine-type endopeptidase activity involved in apoptotic process, GO:0043401: steroid hormone mediated signaling pathway, GO:0043491: protein kinase B signaling cascade, GO:0043491: protein kinase B signaling cascade, GO:0043565: sequence-specific DNA binding, GO:0043565: sequence-specific DNA binding, GO:0043569: negative regulation of insulin-like growth factor receptor signaling pathway, GO:0043621: protein self-association, GO:0044212: transcription regulatory region DNA binding, GO:0045860: positive regulation of protein kinase activity, GO:0045892: negative regulation of transcription, DNA-dependent, GO:0045892: negative regulation of transcription, DNA-dependent, GO:0045893: positive regulation of transcription, DNA-dependent, GO:0045893: positive regulation of transcription, DNA-dependent, GO:0045930: negative regulation of mitotic cell cycle, GO:0045931: positive regulation of mitotic cell cycle, GO:0045944: positive regulation of transcription from RNA polymerase II promoter, GO:0048754: branching morphogenesis of a tube, GO:0050680: negative regulation of epithelial cell proliferation, GO:0051781: positive regulation of cell division, GO:0060442: branching involved in prostate gland morphogenesis, GO:0060664: epithelial cell proliferation involved in salivary gland morphogenesis, GO:0060770: negative regulation of epithelial cell proliferation involved in prostate gland development, GO:0071383: cellular response to steroid hormone stimulus, GO:0071456: cellular response to hypoxia, GO:0071850: mitotic cell cycle arrest, GO:0071899: negative regulation of estrogen receptor binding, GO:0097162: MADS box domain binding, GO:2000500: positive regulation of induction of apoptosis in response to chemical stimulus, GO:2000836: positive regulation of androgen secretion, GO:2001022: positive regulation of response to DNA damage stimulus</t>
  </si>
  <si>
    <t>05200: Pathways in cancer, 05215: Prostate cancer</t>
  </si>
  <si>
    <t>15242_at</t>
  </si>
  <si>
    <t>hematopoietically expressed homeobox</t>
  </si>
  <si>
    <t>GO:0000122: negative regulation of transcription from RNA polymerase II promoter, GO:0000122: negative regulation of transcription from RNA polymerase II promoter, GO:0001570: vasculogenesis, GO:0001701: in utero embryonic development, GO:0001889: liver development, GO:0002009: morphogenesis of an epithelium, GO:0002573: myeloid leukocyte differentiation, GO:0003677: DNA binding, GO:0003682: chromatin binding, GO:0003700: sequence-specific DNA binding transcription factor activity, GO:0005634: nucleus, GO:0005634: nucleus, GO:0005737: cytoplasm, GO:0005737: cytoplasm, GO:0006351: transcription, DNA-dependent, GO:0006355: regulation of transcription, DNA-dependent, GO:0006357: regulation of transcription from RNA polymerase II promoter, GO:0006406: mRNA export from nucleus, GO:0007049: cell cycle, GO:0007165: signal transduction, GO:0007275: multicellular organismal development, GO:0007492: endoderm development, GO:0008134: transcription factor binding, GO:0008190: eukaryotic initiation factor 4E binding, GO:0008283: cell proliferation, GO:0008301: DNA binding, bending, GO:0009887: organ morphogenesis, GO:0009952: anterior/posterior pattern specification, GO:0016055: Wnt receptor signaling pathway, GO:0016525: negative regulation of angiogenesis, GO:0016525: negative regulation of angiogenesis, GO:0016973: poly(A)+ mRNA export from nucleus, GO:0022027: interkinetic nuclear migration, GO:0030097: hemopoiesis, GO:0030154: cell differentiation, GO:0030177: positive regulation of Wnt receptor signaling pathway, GO:0030183: B cell differentiation, GO:0030878: thyroid gland development, GO:0030900: forebrain development, GO:0030948: negative regulation of vascular endothelial growth factor receptor signaling pathway, GO:0030948: negative regulation of vascular endothelial growth factor receptor signaling pathway, GO:0031016: pancreas development, GO:0032993: protein-DNA complex, GO:0034504: protein localization to nucleus, GO:0035050: embryonic heart tube development, GO:0035264: multicellular organism growth, GO:0042127: regulation of cell proliferation, GO:0042803: protein homodimerization activity, GO:0043565: sequence-specific DNA binding, GO:0044212: transcription regulatory region DNA binding, GO:0045892: negative regulation of transcription, DNA-dependent, GO:0045892: negative regulation of transcription, DNA-dependent, GO:0045944: positive regulation of transcription from RNA polymerase II promoter, GO:0048568: embryonic organ development, GO:0048729: tissue morphogenesis, GO:0048853: forebrain morphogenesis, GO:0060431: primary lung bud formation, GO:0061009: common bile duct development, GO:0061010: gall bladder development, GO:0061011: hepatic duct development, GO:0061017: hepatoblast differentiation, GO:0070365: hepatocyte differentiation, GO:0070491: repressing transcription factor binding, GO:0071103: DNA conformation change, GO:0071837: HMG box domain binding, GO:0090009: primitive streak formation, GO:0090009: primitive streak formation</t>
  </si>
  <si>
    <t>GO:0004871: signal transducer activity, GO:0004888: transmembrane signaling receptor activity, GO:0004908: interleukin-1 receptor activity, GO:0005149: interleukin-1 receptor binding, GO:0005515: protein binding, GO:0005576: extracellular region, GO:0005622: intracellular, GO:0005886: plasma membrane, GO:0007165: signal transduction, GO:0016020: membrane, GO:0016021: integral to membrane, GO:0019221: cytokine-mediated signaling pathway, GO:0031224: intrinsic to membrane, GO:0042094: interleukin-2 biosynthetic process, GO:0043234: protein complex, GO:0045087: innate immune response</t>
  </si>
  <si>
    <t>04060: Cytokine-cytokine receptor interaction, 04210: Apoptosis</t>
  </si>
  <si>
    <t>218442_at</t>
  </si>
  <si>
    <t>serine incorporator 5</t>
  </si>
  <si>
    <t>GO:0003674: molecular_function, GO:0005783: endoplasmic reticulum, GO:0005794: Golgi apparatus, GO:0006629: lipid metabolic process, GO:0006658: phosphatidylserine metabolic process, GO:0008654: phospholipid biosynthetic process, GO:0016020: membrane, GO:0016021: integral to membrane, GO:0042552: myelination, GO:0043209: myelin sheath, GO:0051347: positive regulation of transferase activity</t>
  </si>
  <si>
    <t>19116_at</t>
  </si>
  <si>
    <t>prolactin receptor</t>
  </si>
  <si>
    <t>GO:0004896: cytokine receptor activity, GO:0004925: prolactin receptor activity, GO:0004925: prolactin receptor activity, GO:0004925: prolactin receptor activity, GO:0005515: protein binding, GO:0005622: intracellular, GO:0007171: activation of transmembrane receptor protein tyrosine kinase activity, GO:0007259: JAK-STAT cascade, GO:0007595: lactation, GO:0007595: lactation, GO:0009986: cell surface, GO:0016020: membrane, GO:0016021: integral to membrane, GO:0017046: peptide hormone binding, GO:0019901: protein kinase binding, GO:0030155: regulation of cell adhesion, GO:0030856: regulation of epithelial cell differentiation, GO:0038161: prolactin signaling pathway, GO:0046872: metal ion binding, GO:0060644: mammary gland epithelial cell differentiation, GO:0060736: prostate gland growth, GO:0060749: mammary gland alveolus development, GO:0060749: mammary gland alveolus development, GO:0061180: mammary gland epithelium development</t>
  </si>
  <si>
    <t>04060: Cytokine-cytokine receptor interaction, 04080: Neuroactive ligand-receptor interaction, 04630: Jak-STAT signaling pathway</t>
  </si>
  <si>
    <t>11549_at</t>
  </si>
  <si>
    <t>adrenergic receptor, alpha 1a</t>
  </si>
  <si>
    <t>16180_at</t>
  </si>
  <si>
    <t>interleukin 1 receptor accessory protein</t>
  </si>
  <si>
    <t>GO:0001985: negative regulation of heart rate involved in baroreceptor response to increased systemic arterial blood pressure, GO:0001994: norepinephrine-epinephrine vasoconstriction involved in regulation of systemic arterial blood pressure, GO:0001996: positive regulation of heart rate by epinephrine-norepinephrine, GO:0001997: positive regulation of the force of heart contraction by epinephrine-norepinephrine, GO:0003084: positive regulation of systemic arterial blood pressure, GO:0004871: signal transducer activity, GO:0004930: G-protein coupled receptor activity, GO:0004935: adrenergic receptor activity, GO:0004937: alpha1-adrenergic receptor activity, GO:0004937: alpha1-adrenergic receptor activity, GO:0004937: alpha1-adrenergic receptor activity, GO:0005634: nucleus, GO:0005886: plasma membrane, GO:0006950: response to stress, GO:0007165: signal transduction, GO:0007186: G-protein coupled receptor signaling pathway, GO:0007200: phospholipase C-activating G-protein coupled receptor signaling pathway, GO:0007202: activation of phospholipase C activity, GO:0007204: elevation of cytosolic calcium ion concentration, GO:0007512: adult heart development, GO:0007568: aging, GO:0009725: response to hormone stimulus, GO:0010460: positive regulation of heart rate, GO:0016020: membrane, GO:0016021: integral to membrane, GO:0016049: cell growth, GO:0030018: Z disc, GO:0030315: T-tubule, GO:0031965: nuclear membrane, GO:0032229: negative regulation of synaptic transmission, GABAergic, GO:0035024: negative regulation of Rho protein signal transduction, GO:0035265: organ growth, GO:0042493: response to drug, GO:0043410: positive regulation of MAPK cascade, GO:0043410: positive regulation of MAPK cascade, GO:0045760: positive regulation of action potential, GO:0045907: positive regulation of vasoconstriction, GO:0045987: positive regulation of smooth muscle contraction, GO:0045987: positive regulation of smooth muscle contraction, GO:0046982: protein heterodimerization activity, GO:0060073: micturition, GO:0060402: calcium ion transport into cytosol, GO:0060452: positive regulation of cardiac muscle contraction, GO:0070374: positive regulation of ERK1 and ERK2 cascade, GO:0071875: adrenergic receptor signaling pathway, GO:0090037: positive regulation of protein kinase C signaling cascade, GO:0097195: pilomotor reflex</t>
  </si>
  <si>
    <t>04020: Calcium signaling pathway, 04080: Neuroactive ligand-receptor interaction, 04270: Vascular smooth muscle contraction, 04970: Salivary secretion</t>
  </si>
  <si>
    <t>20354_at</t>
  </si>
  <si>
    <t>sema domain, immunoglobulin domain (Ig), transmembrane domain (TM) and short cytoplasmic domain, (semaphorin) 4D</t>
  </si>
  <si>
    <t>GO:0000122: negative regulation of transcription from RNA polymerase II promoter, GO:0000122: negative regulation of transcription from RNA polymerase II promoter, GO:0001934: positive regulation of protein phosphorylation, GO:0004872: receptor activity, GO:0004888: transmembrane signaling receptor activity, GO:0005102: receptor binding, GO:0005102: receptor binding, GO:0005615: extracellular space, GO:0005886: plasma membrane, GO:0005887: integral to plasma membrane, GO:0007275: multicellular organismal development, GO:0007399: nervous system development, GO:0008360: regulation of cell shape, GO:0010693: negative regulation of alkaline phosphatase activity, GO:0010693: negative regulation of alkaline phosphatase activity, GO:0014068: positive regulation of phosphatidylinositol 3-kinase cascade, GO:0016020: membrane, GO:0016021: integral to membrane, GO:0030154: cell differentiation, GO:0030215: semaphorin receptor binding, GO:0030335: positive regulation of cell migration, GO:0030335: positive regulation of cell migration, GO:0031344: regulation of cell projection organization, GO:0032321: positive regulation of Rho GTPase activity, GO:0032321: positive regulation of Rho GTPase activity, GO:0043931: ossification involved in bone maturation, GO:0043931: ossification involved in bone maturation, GO:0045668: negative regulation of osteoblast differentiation, GO:0048672: positive regulation of collateral sprouting, GO:0048814: regulation of dendrite morphogenesis, GO:0050731: positive regulation of peptidyl-tyrosine phosphorylation, GO:0050732: negative regulation of peptidyl-tyrosine phosphorylation, GO:0050772: positive regulation of axonogenesis, GO:0050772: positive regulation of axonogenesis, GO:0061383: trabecula morphogenesis, GO:0070486: leukocyte aggregation, GO:0071526: semaphorin-plexin signaling pathway</t>
  </si>
  <si>
    <t>320158_at</t>
  </si>
  <si>
    <t>zinc finger, matrin type 4</t>
  </si>
  <si>
    <t>GO:0000981: sequence-specific DNA binding RNA polymerase II transcription factor activity, GO:0003682: chromatin binding, GO:0005515: protein binding, GO:0005634: nucleus, GO:0006351: transcription, DNA-dependent, GO:0006355: regulation of transcription, DNA-dependent, GO:0006357: regulation of transcription from RNA polymerase II promoter, GO:0021540: corpus callosum morphogenesis, GO:0021952: central nervous system projection neuron axonogenesis, GO:0021957: corticospinal tract morphogenesis, GO:0021957: corticospinal tract morphogenesis, GO:0021960: anterior commissure morphogenesis, GO:0030182: neuron differentiation, GO:0042803: protein homodimerization activity, GO:0045892: negative regulation of transcription, DNA-dependent, GO:0045892: negative regulation of transcription, DNA-dependent, GO:0046983: protein dimerization activity, GO:0060040: retinal bipolar neuron differentiation, GO:0060042: retina morphogenesis in camera-type eye</t>
  </si>
  <si>
    <t>67712_at</t>
  </si>
  <si>
    <t>solute carrier family 25, member 37</t>
  </si>
  <si>
    <t>GO:0005381: iron ion transmembrane transporter activity, GO:0005622: intracellular, GO:0005739: mitochondrion, GO:0005743: mitochondrial inner membrane, GO:0006810: transport, GO:0006811: ion transport, GO:0016020: membrane, GO:0016021: integral to membrane, GO:0048250: mitochondrial iron ion transport, GO:0055072: iron ion homeostasis</t>
  </si>
  <si>
    <t>108154_at</t>
  </si>
  <si>
    <t>GO:0002026: regulation of the force of heart contraction, GO:0005102: receptor binding, GO:0005179: hormone activity, GO:0005615: extracellular space, GO:0007186: G-protein coupled receptor signaling pathway, GO:0007631: feeding behavior, GO:0008284: positive regulation of cell proliferation, GO:0031652: positive regulation of heat generation, GO:0031704: apelin receptor binding, GO:0042327: positive regulation of phosphorylation, GO:0042756: drinking behavior, GO:0043576: regulation of respiratory gaseous exchange, GO:0045776: negative regulation of blood pressure, GO:0045906: negative regulation of vasoconstriction, GO:0045909: positive regulation of vasodilation, GO:0048471: perinuclear region of cytoplasm, GO:0050878: regulation of body fluid levels, GO:0051461: positive regulation of corticotropin secretion, GO:0051466: positive regulation of corticotropin-releasing hormone secretion</t>
  </si>
  <si>
    <t>68339_at</t>
  </si>
  <si>
    <t>coiled-coil domain containing 88C</t>
  </si>
  <si>
    <t>GO:0000226: microtubule cytoskeleton organization, GO:0001932: regulation of protein phosphorylation, GO:0005515: protein binding, GO:0005737: cytoplasm, GO:0008017: microtubule binding, GO:0016055: Wnt receptor signaling pathway, GO:0030165: PDZ domain binding, GO:0031648: protein destabilization, GO:0043621: protein self-association, GO:0051260: protein homooligomerization</t>
  </si>
  <si>
    <t>15000_at</t>
  </si>
  <si>
    <t>histocompatibility 2, class II, locus Mb2</t>
  </si>
  <si>
    <t>GO:0003676: nucleic acid binding, GO:0003677: DNA binding, GO:0005622: intracellular, GO:0005634: nucleus, GO:0008150: biological_process, GO:0008270: zinc ion binding, GO:0046872: metal ion binding</t>
  </si>
  <si>
    <t>70258_at</t>
  </si>
  <si>
    <t>RIKEN cDNA 1500035N22 gene</t>
  </si>
  <si>
    <t>320772_at</t>
  </si>
  <si>
    <t>MAM domain containing glycosylphosphatidylinositol anchor 2</t>
  </si>
  <si>
    <t>GO:0003674: molecular_function, GO:0005886: plasma membrane, GO:0007389: pattern specification process, GO:0016020: membrane, GO:0031225: anchored to membrane</t>
  </si>
  <si>
    <t>59058_at</t>
  </si>
  <si>
    <t>basic helix-loop-helix family, member e22</t>
  </si>
  <si>
    <t>GO:0002504: antigen processing and presentation of peptide or polysaccharide antigen via MHC class II, GO:0005515: protein binding, GO:0005764: lysosome, GO:0005765: lysosomal membrane, GO:0005770: late endosome, GO:0005771: multivesicular body, GO:0010008: endosome membrane, GO:0016020: membrane, GO:0016021: integral to membrane, GO:0019882: antigen processing and presentation, GO:0019882: antigen processing and presentation, GO:0019886: antigen processing and presentation of exogenous peptide antigen via MHC class II, GO:0042613: MHC class II protein complex, GO:0051085: chaperone mediated protein folding requiring cofactor</t>
  </si>
  <si>
    <t>04145: Phagosome, 04514: Cell adhesion molecules (CAMs), 04612: Antigen processing and presentation, 04672: Intestinal immune network for IgA production, 04940: Type I diabetes mellitus, 05140: Leishmaniasis, 05145: Toxoplasmosis, 05150: Staphylococcus aureus infection, 05310: Asthma, 05320: Autoimmune thyroid disease, 05322: Systemic lupus erythematosus, 05323: Rheumatoid arthritis, 05330: Allograft rejection, 05332: Graft-versus-host disease, 05416: Viral myocarditis</t>
  </si>
  <si>
    <t>243312_at</t>
  </si>
  <si>
    <t>leucine rich repeat and fibronectin type III, extracellular 1</t>
  </si>
  <si>
    <t>GO:0004864: protein phosphatase inhibitor activity, GO:0005575: cellular_component, GO:0010923: negative regulation of phosphatase activity, GO:0016020: membrane, GO:0016021: integral to membrane, GO:0019902: phosphatase binding</t>
  </si>
  <si>
    <t>59093_at</t>
  </si>
  <si>
    <t>poly(rC) binding protein 3</t>
  </si>
  <si>
    <t>GO:0003677: DNA binding, GO:0003723: RNA binding, GO:0005634: nucleus, GO:0005737: cytoplasm, GO:0005739: mitochondrion, GO:0005829: cytosol, GO:0030529: ribonucleoprotein complex, GO:0043231: intracellular membrane-bounded organelle</t>
  </si>
  <si>
    <t>67701_at</t>
  </si>
  <si>
    <t>WAP four-disulfide core domain 2</t>
  </si>
  <si>
    <t>a disintegrin-like and metallopeptidase (reprolysin type) with thrombospondin type 1 motif, 6</t>
  </si>
  <si>
    <t>619313_at</t>
  </si>
  <si>
    <t>RIKEN cDNA I730030J21 gene</t>
  </si>
  <si>
    <t>30878_at</t>
  </si>
  <si>
    <t>apelin</t>
  </si>
  <si>
    <t>GO:0001659: temperature homeostasis, GO:0001965: G-protein alpha-subunit binding, GO:0004435: phosphatidylinositol phospholipase C activity, GO:0004871: signal transducer activity, GO:0004930: G-protein coupled receptor activity, GO:0004993: serotonin receptor activity, GO:0005737: cytoplasm, GO:0005829: cytosol, GO:0005886: plasma membrane, GO:0006661: phosphatidylinositol biosynthetic process, GO:0006950: response to stress, GO:0007165: signal transduction, GO:0007186: G-protein coupled receptor signaling pathway, GO:0007208: phospholipase C-activating serotonin receptor signaling pathway, GO:0007210: serotonin receptor signaling pathway, GO:0007613: memory, GO:0008144: drug binding, GO:0008219: cell death, GO:0008284: positive regulation of cell proliferation, GO:0014059: regulation of dopamine secretion, GO:0014065: phosphatidylinositol 3-kinase cascade, GO:0016020: membrane, GO:0016021: integral to membrane, GO:0019233: sensory perception of pain, GO:0030425: dendrite, GO:0030431: sleep, GO:0032403: protein complex binding, GO:0042493: response to drug, GO:0043198: dendritic shaft, GO:0043267: negative regulation of potassium ion transport, GO:0043406: positive regulation of MAP kinase activity, GO:0045907: positive regulation of vasoconstriction, GO:0051209: release of sequestered calcium ion into cytosol, GO:0051378: serotonin binding, GO:0051967: negative regulation of synaptic transmission, glutamatergic, GO:0070371: ERK1 and ERK2 cascade, GO:0071886: 1-(4-iodo-2,5-dimethoxyphenyl)propan-2-amine binding</t>
  </si>
  <si>
    <t>gene regulated by estrogen in breast cancer protein</t>
  </si>
  <si>
    <t>73910_at</t>
  </si>
  <si>
    <t>Rho GTPase activating protein 18</t>
  </si>
  <si>
    <t>GO:0003674: molecular_function, GO:0005096: GTPase activator activity, GO:0005622: intracellular, GO:0007165: signal transduction, GO:0043547: positive regulation of GTPase activity</t>
  </si>
  <si>
    <t>54357_at</t>
  </si>
  <si>
    <t>erythrocyte protein band 4.1-like 4b</t>
  </si>
  <si>
    <t>GO:0005515: protein binding, GO:0005737: cytoplasm, GO:0005856: cytoskeleton, GO:0008092: cytoskeletal protein binding, GO:0019898: extrinsic to membrane, GO:0031032: actomyosin structure organization, GO:0045177: apical part of cell</t>
  </si>
  <si>
    <t>13992_at</t>
  </si>
  <si>
    <t>KH domain containing, RNA binding, signal transduction associated 3</t>
  </si>
  <si>
    <t>GO:0003723: RNA binding, GO:0003727: single-stranded RNA binding, GO:0005634: nucleus, GO:0006351: transcription, DNA-dependent, GO:0006355: regulation of transcription, DNA-dependent, GO:0006397: mRNA processing, GO:0017124: SH3 domain binding, GO:0033120: positive regulation of RNA splicing</t>
  </si>
  <si>
    <t>330119_at</t>
  </si>
  <si>
    <t>a disintegrin-like and metallopeptidase (reprolysin type) with thrombospondin type 1 motif, 3</t>
  </si>
  <si>
    <t>GO:0005575: cellular_component, GO:0005576: extracellular region, GO:0006508: proteolysis, GO:0008233: peptidase activity, GO:0008237: metallopeptidase activity, GO:0016485: protein processing, GO:0016787: hydrolase activity, GO:0046872: metal ion binding</t>
  </si>
  <si>
    <t>57278_at</t>
  </si>
  <si>
    <t>basal cell adhesion molecule</t>
  </si>
  <si>
    <t>GO:0003674: molecular_function, GO:0004867: serine-type endopeptidase inhibitor activity, GO:0005575: cellular_component, GO:0005576: extracellular region, GO:0008150: biological_process, GO:0010466: negative regulation of peptidase activity, GO:0010951: negative regulation of endopeptidase activity, GO:0030414: peptidase inhibitor activity</t>
  </si>
  <si>
    <t>15558_at</t>
  </si>
  <si>
    <t>5-hydroxytryptamine (serotonin) receptor 2A</t>
  </si>
  <si>
    <t>GO:0005216: ion channel activity, GO:0005244: voltage-gated ion channel activity, GO:0005249: voltage-gated potassium channel activity, GO:0005250: A-type (transient outward) potassium channel activity, GO:0005267: potassium channel activity, GO:0005886: plasma membrane, GO:0005887: integral to plasma membrane, GO:0006810: transport, GO:0006811: ion transport, GO:0006813: potassium ion transport, GO:0008076: voltage-gated potassium channel complex, GO:0016020: membrane, GO:0016020: membrane, GO:0016021: integral to membrane, GO:0034765: regulation of ion transmembrane transport, GO:0042995: cell projection, GO:0043005: neuron projection, GO:0043025: neuronal cell body, GO:0046872: metal ion binding, GO:0051260: protein homooligomerization, GO:0055085: transmembrane transport, GO:0071805: potassium ion transmembrane transport</t>
  </si>
  <si>
    <t>11847_at</t>
  </si>
  <si>
    <t>arginase type II</t>
  </si>
  <si>
    <t>GO:0000050: urea cycle, GO:0004053: arginase activity, GO:0005739: mitochondrion, GO:0005739: mitochondrion, GO:0006525: arginine metabolic process, GO:0006941: striated muscle contraction, GO:0010963: regulation of L-arginine import, GO:0016787: hydrolase activity, GO:0016813: hydrolase activity, acting on carbon-nitrogen (but not peptide) bonds, in linear amidines, GO:0045988: negative regulation of striated muscle contraction, GO:0046872: metal ion binding, GO:0050998: nitric-oxide synthase binding, GO:0051001: negative regulation of nitric-oxide synthase activity</t>
  </si>
  <si>
    <t>00330: Arginine and proline metabolism, 01100: Metabolic pathways, 05146: Amoebiasis</t>
  </si>
  <si>
    <t>330177_at</t>
  </si>
  <si>
    <t>TAO kinase 3</t>
  </si>
  <si>
    <t>04020: Calcium signaling pathway, 04080: Neuroactive ligand-receptor interaction, 04540: Gap junction</t>
  </si>
  <si>
    <t>70337_at</t>
  </si>
  <si>
    <t>iodotyrosine deiodinase</t>
  </si>
  <si>
    <t>GO:0004447: iodide peroxidase activity, GO:0004447: iodide peroxidase activity, GO:0005575: cellular_component, GO:0016020: membrane, GO:0016021: integral to membrane, GO:0016491: oxidoreductase activity, GO:0055114: oxidation-reduction process</t>
  </si>
  <si>
    <t>268527_at</t>
  </si>
  <si>
    <t>GO:0000165: MAPK cascade, GO:0000166: nucleotide binding, GO:0004672: protein kinase activity, GO:0004674: protein serine/threonine kinase activity, GO:0005524: ATP binding, GO:0005737: cytoplasm, GO:0005739: mitochondrion, GO:0006281: DNA repair, GO:0006468: protein phosphorylation, GO:0006974: response to DNA damage stimulus, GO:0016301: kinase activity, GO:0016310: phosphorylation, GO:0016740: transferase activity, GO:0016772: transferase activity, transferring phosphorus-containing groups, GO:0031572: G2/M transition DNA damage checkpoint, GO:0032874: positive regulation of stress-activated MAPK cascade, GO:0043507: positive regulation of JUN kinase activity, GO:0046329: negative regulation of JNK cascade, GO:0046330: positive regulation of JNK cascade, GO:0046777: protein autophosphorylation</t>
  </si>
  <si>
    <t>75444_at</t>
  </si>
  <si>
    <t>RIKEN cDNA 1700011I03 gene</t>
  </si>
  <si>
    <t>12491_at</t>
  </si>
  <si>
    <t>CD36 antigen</t>
  </si>
  <si>
    <t>GO:0005055: laminin receptor activity, GO:0005055: laminin receptor activity, GO:0005886: plasma membrane, GO:0005887: integral to plasma membrane, GO:0007155: cell adhesion, GO:0007160: cell-matrix adhesion, GO:0009986: cell surface, GO:0009986: cell surface, GO:0016020: membrane, GO:0016021: integral to membrane, GO:0043236: laminin binding</t>
  </si>
  <si>
    <t>56543_at</t>
  </si>
  <si>
    <t>potassium voltage-gated channel, Shal-related family, member 3</t>
  </si>
  <si>
    <t>GO:0000122: negative regulation of transcription from RNA polymerase II promoter, GO:0001676: long-chain fatty acid metabolic process, GO:0001954: positive regulation of cell-matrix adhesion, GO:0004872: receptor activity, GO:0005041: low-density lipoprotein receptor activity, GO:0005041: low-density lipoprotein receptor activity, GO:0005515: protein binding, GO:0005622: intracellular, GO:0005739: mitochondrion, GO:0005794: Golgi apparatus, GO:0005886: plasma membrane, GO:0005886: plasma membrane, GO:0005901: caveola, GO:0006631: fatty acid metabolic process, GO:0006641: triglyceride metabolic process, GO:0006810: transport, GO:0006910: phagocytosis, recognition, GO:0007155: cell adhesion, GO:0007166: cell surface receptor signaling pathway, GO:0007263: nitric oxide mediated signal transduction, GO:0008035: high-density lipoprotein particle binding, GO:0008289: lipid binding, GO:0008289: lipid binding, GO:0009612: response to mechanical stimulus, GO:0009897: external side of plasma membrane, GO:0009986: cell surface, GO:0009986: cell surface, GO:0010629: negative regulation of gene expression, GO:0010744: positive regulation of macrophage derived foam cell differentiation, GO:0010744: positive regulation of macrophage derived foam cell differentiation, GO:0010886: positive regulation of cholesterol storage, GO:0015908: fatty acid transport, GO:0015909: long-chain fatty acid transport, GO:0015911: plasma membrane long-chain fatty acid transport, GO:0016020: membrane, GO:0016021: integral to membrane, GO:0016525: negative regulation of angiogenesis, GO:0019395: fatty acid oxidation, GO:0019915: lipid storage, GO:0019915: lipid storage, GO:0019934: cGMP-mediated signaling, GO:0030169: low-density lipoprotein particle binding, GO:0030169: low-density lipoprotein particle binding, GO:0030194: positive regulation of blood coagulation, GO:0030301: cholesterol transport, GO:0032735: positive regulation of interleukin-12 production, GO:0032755: positive regulation of interleukin-6 production, GO:0032760: positive regulation of tumor necrosis factor production, GO:0034381: plasma lipoprotein particle clearance, GO:0034383: low-density lipoprotein particle clearance, GO:0034383: low-density lipoprotein particle clearance, GO:0042383: sarcolemma, GO:0042953: lipoprotein transport, GO:0042953: lipoprotein transport, GO:0042992: negative regulation of transcription factor import into nucleus, GO:0043123: positive regulation of I-kappaB kinase/NF-kappaB cascade, GO:0043277: apoptotic cell clearance, GO:0043410: positive regulation of MAPK cascade, GO:0043619: regulation of transcription from RNA polymerase II promoter in response to oxidative stress, GO:0044130: negative regulation of growth of symbiont in host, GO:0044539: long-chain fatty acid import, GO:0045121: membrane raft, GO:0045177: apical part of cell, GO:0050431: transforming growth factor beta binding, GO:0050731: positive regulation of peptidyl-tyrosine phosphorylation, GO:0050830: defense response to Gram-positive bacterium, GO:0051636: Gram-negative bacterial cell surface binding, GO:0051637: Gram-positive bacterial cell surface binding, GO:0055096: low-density lipoprotein particle mediated signaling, GO:0060100: positive regulation of phagocytosis, engulfment, GO:0060100: positive regulation of phagocytosis, engulfment, GO:0060907: positive regulation of macrophage cytokine production, GO:0070053: thrombospondin receptor activity, GO:0070892: lipoteichoic acid receptor activity, GO:0071221: cellular response to bacterial lipopeptide, GO:0071222: cellular response to lipopolysaccharide, GO:0071223: cellular response to lipoteichoic acid, GO:0071223: cellular response to lipoteichoic acid, GO:0071447: cellular response to hydroperoxide, GO:0071813: lipoprotein particle binding, GO:2000121: regulation of removal of superoxide radicals, GO:2000334: positive regulation of blood microparticle formation, GO:2000379: positive regulation of reactive oxygen species metabolic process</t>
  </si>
  <si>
    <t>03320: PPAR signaling pathway, 04145: Phagosome, 04512: ECM-receptor interaction, 04640: Hematopoietic cell lineage, 04920: Adipocytokine signaling pathway, 04975: Fat digestion and absorption, 05144: Malaria</t>
  </si>
  <si>
    <t>30936_at</t>
  </si>
  <si>
    <t>solute carrier family 46, member 2</t>
  </si>
  <si>
    <t>GO:0003674: molecular_function, GO:0005215: transporter activity, GO:0005886: plasma membrane, GO:0006810: transport, GO:0008150: biological_process, GO:0009986: cell surface, GO:0016020: membrane, GO:0016021: integral to membrane, GO:0055085: transmembrane transport</t>
  </si>
  <si>
    <t>13426_at</t>
  </si>
  <si>
    <t>dynein cytoplasmic 1 intermediate chain 1</t>
  </si>
  <si>
    <t>GO:0000775: chromosome, centromeric region, GO:0000776: kinetochore, GO:0000922: spindle pole, GO:0003774: motor activity, GO:0003777: microtubule motor activity, GO:0005515: protein binding, GO:0005694: chromosome, GO:0005737: cytoplasm, GO:0005856: cytoskeleton, GO:0005868: cytoplasmic dynein complex, GO:0005874: microtubule, GO:0006810: transport, GO:0008017: microtubule binding, GO:0008152: metabolic process, GO:0008152: metabolic process, GO:0030286: dynein complex, GO:0031982: vesicle, GO:0047496: vesicle transport along microtubule, GO:0048471: perinuclear region of cytoplasm</t>
  </si>
  <si>
    <t>04145: Phagosome, 04962: Vasopressin-regulated water reabsorption</t>
  </si>
  <si>
    <t>27260_at</t>
  </si>
  <si>
    <t>pleckstrin 2</t>
  </si>
  <si>
    <t>GO:0005543: phospholipid binding, GO:0005737: cytoplasm, GO:0005856: cytoskeleton, GO:0005886: plasma membrane, GO:0016020: membrane, GO:0035556: intracellular signal transduction, GO:0042995: cell projection</t>
  </si>
  <si>
    <t>629147_at</t>
  </si>
  <si>
    <t>cortexin 3</t>
  </si>
  <si>
    <t>GO:0003674: molecular_function, GO:0005575: cellular_component, GO:0008150: biological_process, GO:0016020: membrane, GO:0016021: integral to membrane, GO:0031224: intrinsic to membrane</t>
  </si>
  <si>
    <t>211329_at</t>
  </si>
  <si>
    <t>nuclear receptor coactivator 7</t>
  </si>
  <si>
    <t>GO:0000156: two-component response regulator activity, GO:0000160: two-component signal transduction system (phosphorelay), GO:0003824: catalytic activity, GO:0004114: 3',5'-cyclic-nucleotide phosphodiesterase activity, GO:0004115: 3',5'-cyclic-AMP phosphodiesterase activity, GO:0004871: signal transducer activity, GO:0005622: intracellular, GO:0006355: regulation of transcription, DNA-dependent, GO:0007165: signal transduction, GO:0008081: phosphoric diester hydrolase activity, GO:0016787: hydrolase activity, GO:0046872: metal ion binding</t>
  </si>
  <si>
    <t>104443_at</t>
  </si>
  <si>
    <t>neuropeptide FF receptor 2</t>
  </si>
  <si>
    <t>GO:0005622: intracellular, GO:0005634: nucleus, GO:0006351: transcription, DNA-dependent, GO:0006355: regulation of transcription, DNA-dependent, GO:0016998: cell wall macromolecule catabolic process, GO:0030374: ligand-dependent nuclear receptor transcription coactivator activity, GO:0035257: nuclear hormone receptor binding, GO:0045944: positive regulation of transcription from RNA polymerase II promoter</t>
  </si>
  <si>
    <t>329942_at</t>
  </si>
  <si>
    <t>CUB and Sushi multiple domains 2</t>
  </si>
  <si>
    <t>21819_at</t>
  </si>
  <si>
    <t>thyroglobulin</t>
  </si>
  <si>
    <t>GO:0005179: hormone activity, GO:0005576: extracellular region, GO:0005615: extracellular space, GO:0005615: extracellular space, GO:0005783: endoplasmic reticulum, GO:0005794: Golgi apparatus, GO:0006590: thyroid hormone generation, GO:0006590: thyroid hormone generation, GO:0009268: response to pH, GO:0015705: iodide transport, GO:0031641: regulation of myelination, GO:0032403: protein complex binding, GO:0042403: thyroid hormone metabolic process, GO:0042446: hormone biosynthetic process, GO:0045056: transcytosis, GO:0048471: perinuclear region of cytoplasm, GO:0051087: chaperone binding</t>
  </si>
  <si>
    <t>05320: Autoimmune thyroid disease</t>
  </si>
  <si>
    <t>231238_at</t>
  </si>
  <si>
    <t>sel-1 suppressor of lin-12-like 3 (C. elegans)</t>
  </si>
  <si>
    <t>237831_at</t>
  </si>
  <si>
    <t>solute carrier family 13 (sodium-dependent citrate transporter), member 5</t>
  </si>
  <si>
    <t>GO:0004871: signal transducer activity, GO:0004930: G-protein coupled receptor activity, GO:0005886: plasma membrane, GO:0005887: integral to plasma membrane, GO:0007165: signal transduction, GO:0007186: G-protein coupled receptor signaling pathway, GO:0007186: G-protein coupled receptor signaling pathway, GO:0007218: neuropeptide signaling pathway, GO:0007268: synaptic transmission, GO:0008188: neuropeptide receptor activity, GO:0015629: actin cytoskeleton, GO:0016020: membrane, GO:0016021: integral to membrane</t>
  </si>
  <si>
    <t>14629_at</t>
  </si>
  <si>
    <t>glutamate-cysteine ligase, catalytic subunit</t>
  </si>
  <si>
    <t>GO:0005215: transporter activity, GO:0005343: organic acid:sodium symporter activity, GO:0005886: plasma membrane, GO:0006810: transport, GO:0006811: ion transport, GO:0006814: sodium ion transport, GO:0006842: tricarboxylic acid transport, GO:0015137: citrate transmembrane transporter activity, GO:0015137: citrate transmembrane transporter activity, GO:0015141: succinate transmembrane transporter activity, GO:0015141: succinate transmembrane transporter activity, GO:0015142: tricarboxylic acid transmembrane transporter activity, GO:0015293: symporter activity, GO:0015744: succinate transport, GO:0015744: succinate transport, GO:0015746: citrate transport, GO:0015746: citrate transport, GO:0016020: membrane, GO:0016021: integral to membrane, GO:0016323: basolateral plasma membrane, GO:0017153: sodium:dicarboxylate symporter activity, GO:0055085: transmembrane transport, GO:0071422: succinate transmembrane transport, GO:0071436: sodium ion export</t>
  </si>
  <si>
    <t>18584_at</t>
  </si>
  <si>
    <t>phosphodiesterase 8A</t>
  </si>
  <si>
    <t>GO:0000166: nucleotide binding, GO:0000287: magnesium ion binding, GO:0004357: glutamate-cysteine ligase activity, GO:0004357: glutamate-cysteine ligase activity, GO:0004357: glutamate-cysteine ligase activity, GO:0005524: ATP binding, GO:0005829: cytosol, GO:0006534: cysteine metabolic process, GO:0006536: glutamate metabolic process, GO:0006749: glutathione metabolic process, GO:0006750: glutathione biosynthetic process, GO:0006750: glutathione biosynthetic process, GO:0006750: glutathione biosynthetic process, GO:0006916: anti-apoptosis, GO:0006979: response to oxidative stress, GO:0008152: metabolic process, GO:0009408: response to heat, GO:0009410: response to xenobiotic stimulus, GO:0009725: response to hormone stimulus, GO:0016595: glutamate binding, GO:0016874: ligase activity, GO:0017109: glutamate-cysteine ligase complex, GO:0017109: glutamate-cysteine ligase complex, GO:0019852: L-ascorbic acid metabolic process, GO:0031397: negative regulation of protein ubiquitination, GO:0032436: positive regulation of proteasomal ubiquitin-dependent protein catabolic process, GO:0043066: negative regulation of apoptotic process, GO:0043524: negative regulation of neuron apoptotic process, GO:0043531: ADP binding, GO:0045454: cell redox homeostasis, GO:0045892: negative regulation of transcription, DNA-dependent, GO:0046685: response to arsenic-containing substance, GO:0046982: protein heterodimerization activity, GO:0046982: protein heterodimerization activity, GO:0050662: coenzyme binding, GO:0050880: regulation of blood vessel size, GO:0051409: response to nitrosative stress, GO:0051900: regulation of mitochondrial depolarization</t>
  </si>
  <si>
    <t>67194_at</t>
  </si>
  <si>
    <t>RIKEN cDNA 2700038G22 gene</t>
  </si>
  <si>
    <t>69219_at</t>
  </si>
  <si>
    <t>dimethylarginine dimethylaminohydrolase 1</t>
  </si>
  <si>
    <t>GO:0005102: receptor binding, GO:0005515: protein binding, GO:0007155: cell adhesion, GO:0007165: signal transduction, GO:0016020: membrane, GO:0016021: integral to membrane, GO:0030425: dendrite</t>
  </si>
  <si>
    <t>83453_at</t>
  </si>
  <si>
    <t>chordin-like 1</t>
  </si>
  <si>
    <t>GO:0004180: carboxypeptidase activity, GO:0004181: metallocarboxypeptidase activity, GO:0005737: cytoplasm, GO:0005829: cytosol, GO:0006508: proteolysis, GO:0008233: peptidase activity, GO:0008237: metallopeptidase activity, GO:0008270: zinc ion binding, GO:0016787: hydrolase activity, GO:0046872: metal ion binding</t>
  </si>
  <si>
    <t>170571_at</t>
  </si>
  <si>
    <t>contactin associated protein-like 4</t>
  </si>
  <si>
    <t>GO:0000052: citrulline metabolic process, GO:0003073: regulation of systemic arterial blood pressure, GO:0005737: cytoplasm, GO:0005739: mitochondrion, GO:0006525: arginine metabolic process, GO:0006809: nitric oxide biosynthetic process, GO:0008152: metabolic process, GO:0008270: zinc ion binding, GO:0016403: dimethylargininase activity, GO:0016403: dimethylargininase activity, GO:0016403: dimethylargininase activity, GO:0016597: amino acid binding, GO:0016787: hydrolase activity, GO:0016813: hydrolase activity, acting on carbon-nitrogen (but not peptide) bonds, in linear amidines, GO:0017014: protein nitrosylation, GO:0045429: positive regulation of nitric oxide biosynthetic process, GO:0045429: positive regulation of nitric oxide biosynthetic process, GO:0045766: positive regulation of angiogenesis, GO:0046872: metal ion binding</t>
  </si>
  <si>
    <t>271813_at</t>
  </si>
  <si>
    <t>ATP/GTP binding protein-like 2</t>
  </si>
  <si>
    <t>GO:0001503: ossification, GO:0001654: eye development, GO:0001709: cell fate determination, GO:0005576: extracellular region, GO:0007275: multicellular organismal development, GO:0007399: nervous system development, GO:0030154: cell differentiation, GO:0030182: neuron differentiation, GO:0048749: compound eye development</t>
  </si>
  <si>
    <t>71720_at</t>
  </si>
  <si>
    <t>oxysterol binding protein-like 3</t>
  </si>
  <si>
    <t>GO:0001664: G-protein coupled receptor binding, GO:0001664: G-protein coupled receptor binding, GO:0005179: hormone activity, GO:0005576: extracellular region, GO:0005615: extracellular space, GO:0007218: neuropeptide signaling pathway, GO:0007268: synaptic transmission, GO:0008217: regulation of blood pressure, GO:0008343: adult feeding behavior, GO:0031841: neuropeptide Y receptor binding, GO:0032100: positive regulation of appetite, GO:0045776: negative regulation of blood pressure</t>
  </si>
  <si>
    <t>04920: Adipocytokine signaling pathway</t>
  </si>
  <si>
    <t>15900_at</t>
  </si>
  <si>
    <t>interferon regulatory factor 8</t>
  </si>
  <si>
    <t>GO:0003674: molecular_function, GO:0005543: phospholipid binding, GO:0005575: cellular_component, GO:0006810: transport, GO:0006869: lipid transport, GO:0008150: biological_process, GO:0008289: lipid binding</t>
  </si>
  <si>
    <t>215821_at</t>
  </si>
  <si>
    <t>GO:0005085: guanyl-nucleotide exchange factor activity, GO:0005086: ARF guanyl-nucleotide exchange factor activity, GO:0005622: intracellular, GO:0005802: trans-Golgi network, GO:0016020: membrane, GO:0016021: integral to membrane, GO:0016192: vesicle-mediated transport, GO:0032012: regulation of ARF protein signal transduction, GO:0050790: regulation of catalytic activity, GO:0050790: regulation of catalytic activity</t>
  </si>
  <si>
    <t>109648_at</t>
  </si>
  <si>
    <t>neuropeptide Y</t>
  </si>
  <si>
    <t>GO:0005634: nucleus, GO:0005737: cytoplasm, GO:0005739: mitochondrion, GO:0006915: apoptotic process, GO:0031333: negative regulation of protein complex assembly, GO:0046872: metal ion binding</t>
  </si>
  <si>
    <t>21336_at</t>
  </si>
  <si>
    <t>tachykinin receptor 1</t>
  </si>
  <si>
    <t>GO:0000975: regulatory region DNA binding, GO:0003677: DNA binding, GO:0003700: sequence-specific DNA binding transcription factor activity, GO:0005515: protein binding, GO:0005634: nucleus, GO:0006351: transcription, DNA-dependent, GO:0006355: regulation of transcription, DNA-dependent, GO:0006909: phagocytosis, GO:0006955: immune response, GO:0009617: response to bacterium, GO:0030099: myeloid cell differentiation, GO:0032729: positive regulation of interferon-gamma production, GO:0032735: positive regulation of interleukin-12 production, GO:0042742: defense response to bacterium, GO:0042832: defense response to protozoan, GO:0044130: negative regulation of growth of symbiont in host, GO:0045893: positive regulation of transcription, DNA-dependent, GO:0071222: cellular response to lipopolysaccharide</t>
  </si>
  <si>
    <t>327959_at</t>
  </si>
  <si>
    <t>XIAP associated factor 1</t>
  </si>
  <si>
    <t>DNA segment, Chr 10, Brigham &amp; Women's Genetics 1379 expressed</t>
  </si>
  <si>
    <t>GO:0002118: aggressive behavior, GO:0002687: positive regulation of leukocyte migration, GO:0003051: angiotensin-mediated drinking behavior, GO:0004871: signal transducer activity, GO:0004930: G-protein coupled receptor activity, GO:0004995: tachykinin receptor activity, GO:0005737: cytoplasm, GO:0005886: plasma membrane, GO:0007165: signal transduction, GO:0007186: G-protein coupled receptor signaling pathway, GO:0007204: elevation of cytosolic calcium ion concentration, GO:0007217: tachykinin receptor signaling pathway, GO:0007217: tachykinin receptor signaling pathway, GO:0007218: neuropeptide signaling pathway, GO:0007218: neuropeptide signaling pathway, GO:0007268: synaptic transmission, GO:0007611: learning or memory, GO:0007616: long-term memory, GO:0008217: regulation of blood pressure, GO:0008306: associative learning, GO:0009408: response to heat, GO:0009725: response to hormone stimulus, GO:0009986: cell surface, GO:0010193: response to ozone, GO:0010634: positive regulation of epithelial cell migration, GO:0010996: response to auditory stimulus, GO:0014070: response to organic cyclic compound, GO:0014910: regulation of smooth muscle cell migration, GO:0016020: membrane, GO:0016021: integral to membrane, GO:0016496: substance P receptor activity, GO:0019233: sensory perception of pain, GO:0030425: dendrite, GO:0032224: positive regulation of synaptic transmission, cholinergic, GO:0032230: positive regulation of synaptic transmission, GABAergic, GO:0035094: response to nicotine, GO:0035106: operant conditioning, GO:0035815: positive regulation of renal sodium excretion, GO:0042713: sperm ejaculation, GO:0042755: eating behavior, GO:0043117: positive regulation of vascular permeability, GO:0044297: cell body, GO:0045471: response to ethanol, GO:0045760: positive regulation of action potential, GO:0045777: positive regulation of blood pressure, GO:0045907: positive regulation of vasoconstriction, GO:0046878: positive regulation of saliva secretion, GO:0046887: positive regulation of hormone secretion, GO:0048265: response to pain, GO:0048266: behavioral response to pain, GO:0048660: regulation of smooth muscle cell proliferation, GO:0050671: positive regulation of lymphocyte proliferation, GO:0050679: positive regulation of epithelial cell proliferation, GO:0051496: positive regulation of stress fiber assembly, GO:0060083: smooth muscle contraction involved in micturition, GO:0070474: positive regulation of uterine smooth muscle contraction, GO:0071944: cell periphery</t>
  </si>
  <si>
    <t>GO:0003713: transcription coactivator activity, GO:0005634: nucleus, GO:0005737: cytoplasm, GO:0005737: cytoplasm, GO:0005794: Golgi apparatus, GO:0005886: plasma membrane, GO:0006351: transcription, DNA-dependent, GO:0006355: regulation of transcription, DNA-dependent, GO:0016020: membrane, GO:0016477: cell migration, GO:0030674: protein binding, bridging, GO:0032587: ruffle membrane, GO:0035330: regulation of hippo signaling cascade, GO:0042995: cell projection, GO:0043234: protein complex, GO:0043410: positive regulation of MAPK cascade, GO:0048471: perinuclear region of cytoplasm, GO:2001141: regulation of RNA biosynthetic process</t>
  </si>
  <si>
    <t>72269_at</t>
  </si>
  <si>
    <t>cytidine deaminase</t>
  </si>
  <si>
    <t>GO:0001882: nucleoside binding, GO:0003824: catalytic activity, GO:0004126: cytidine deaminase activity, GO:0005829: cytosol, GO:0008270: zinc ion binding, GO:0009972: cytidine deamination, GO:0016787: hydrolase activity, GO:0030308: negative regulation of cell growth, GO:0042802: identical protein binding, GO:0042803: protein homodimerization activity, GO:0045980: negative regulation of nucleotide metabolic process, GO:0046872: metal ion binding, GO:0051289: protein homotetramerization</t>
  </si>
  <si>
    <t>00240: Pyrimidine metabolism, 00983: Drug metabolism - other enzymes, 01100: Metabolic pathways</t>
  </si>
  <si>
    <t>52822_at</t>
  </si>
  <si>
    <t>RUN and FYVE domain containing 3</t>
  </si>
  <si>
    <t>GO:0005515: protein binding, GO:0007275: multicellular organismal development, GO:0007399: nervous system development, GO:0030154: cell differentiation, GO:0030175: filopodium, GO:0030426: growth cone, GO:0042995: cell projection, GO:0046872: metal ion binding, GO:0050771: negative regulation of axonogenesis</t>
  </si>
  <si>
    <t>11472_at</t>
  </si>
  <si>
    <t>actinin alpha 2</t>
  </si>
  <si>
    <t>GO:0003779: actin binding, GO:0005509: calcium ion binding, GO:0005515: protein binding, GO:0005737: cytoplasm, GO:0005865: striated muscle thin filament, GO:0005925: focal adhesion, GO:0006936: muscle contraction, GO:0008092: cytoskeletal protein binding, GO:0030017: sarcomere, GO:0030018: Z disc, GO:0030018: Z disc, GO:0030035: microspike assembly, GO:0030175: filopodium, GO:0030374: ligand-dependent nuclear receptor transcription coactivator activity, GO:0030375: thyroid hormone receptor coactivator activity, GO:0030674: protein binding, bridging, GO:0030864: cortical actin cytoskeleton, GO:0031432: titin binding, GO:0042802: identical protein binding, GO:0042803: protein homodimerization activity, GO:0044325: ion channel binding, GO:0046983: protein dimerization activity, GO:0048041: focal adhesion assembly, GO:0051015: actin filament binding, GO:0051015: actin filament binding, GO:0051289: protein homotetramerization, GO:0051373: FATZ binding, GO:0070080: titin Z domain binding, GO:2000273: positive regulation of receptor activity, GO:2001141: regulation of RNA biosynthetic process</t>
  </si>
  <si>
    <t>04510: Focal adhesion, 04520: Adherens junction, 04530: Tight junction, 04670: Leukocyte transendothelial migration, 04810: Regulation of actin cytoskeleton, 05146: Amoebiasis, 05322: Systemic lupus erythematosus, 05412: Arrhythmogenic right ventricular cardiomyopathy (ARVC)</t>
  </si>
  <si>
    <t>12606_at</t>
  </si>
  <si>
    <t>CCAAT/enhancer binding protein (C/EBP), alpha</t>
  </si>
  <si>
    <t>211652_at</t>
  </si>
  <si>
    <t>WW, C2 and coiled-coil domain containing 1</t>
  </si>
  <si>
    <t>GO:0000050: urea cycle, GO:0000122: negative regulation of transcription from RNA polymerase II promoter, GO:0001889: liver development, GO:0001892: embryonic placenta development, GO:0003677: DNA binding, GO:0003677: DNA binding, GO:0003700: sequence-specific DNA binding transcription factor activity, GO:0003700: sequence-specific DNA binding transcription factor activity, GO:0003700: sequence-specific DNA binding transcription factor activity, GO:0003705: RNA polymerase II distal enhancer sequence-specific DNA binding transcription factor activity, GO:0005515: protein binding, GO:0005634: nucleus, GO:0005634: nucleus, GO:0005667: transcription factor complex, GO:0005667: transcription factor complex, GO:0006351: transcription, DNA-dependent, GO:0006351: transcription, DNA-dependent, GO:0006355: regulation of transcription, DNA-dependent, GO:0006355: regulation of transcription, DNA-dependent, GO:0006357: regulation of transcription from RNA polymerase II promoter, GO:0007005: mitochondrion organization, GO:0008134: transcription factor binding, GO:0008203: cholesterol metabolic process, GO:0008285: negative regulation of cell proliferation, GO:0016363: nuclear matrix, GO:0019221: cytokine-mediated signaling pathway, GO:0019904: protein domain specific binding, GO:0030099: myeloid cell differentiation, GO:0030225: macrophage differentiation, GO:0030324: lung development, GO:0032403: protein complex binding, GO:0035189: Rb-E2F complex, GO:0042127: regulation of cell proliferation, GO:0042803: protein homodimerization activity, GO:0042803: protein homodimerization activity, GO:0043234: protein complex, GO:0043565: sequence-specific DNA binding, GO:0044212: transcription regulatory region DNA binding, GO:0044212: transcription regulatory region DNA binding, GO:0045444: fat cell differentiation, GO:0045600: positive regulation of fat cell differentiation, GO:0045600: positive regulation of fat cell differentiation, GO:0045669: positive regulation of osteoblast differentiation, GO:0045892: negative regulation of transcription, DNA-dependent, GO:0045893: positive regulation of transcription, DNA-dependent, GO:0045944: positive regulation of transcription from RNA polymerase II promoter, GO:0045945: positive regulation of transcription from RNA polymerase III promoter, GO:0046982: protein heterodimerization activity, GO:0046983: protein dimerization activity, GO:0048469: cell maturation, GO:0048839: inner ear development, GO:0050872: white fat cell differentiation, GO:0050873: brown fat cell differentiation, GO:0071285: cellular response to lithium ion, GO:0071407: cellular response to organic cyclic compound, GO:0071837: HMG box domain binding</t>
  </si>
  <si>
    <t>05200: Pathways in cancer, 05221: Acute myeloid leukemia</t>
  </si>
  <si>
    <t>21859_at</t>
  </si>
  <si>
    <t>tissue inhibitor of metalloproteinase 3</t>
  </si>
  <si>
    <t>GO:0004857: enzyme inhibitor activity, GO:0005576: extracellular region, GO:0005578: proteinaceous extracellular matrix, GO:0005604: basement membrane, GO:0005737: cytoplasm, GO:0008191: metalloendopeptidase inhibitor activity, GO:0010951: negative regulation of endopeptidase activity, GO:0043086: negative regulation of catalytic activity, GO:0045861: negative regulation of proteolysis, GO:0046872: metal ion binding, GO:0051045: negative regulation of membrane protein ectodomain proteolysis, GO:0071310: cellular response to organic substance</t>
  </si>
  <si>
    <t>16776_at</t>
  </si>
  <si>
    <t>laminin, alpha 5</t>
  </si>
  <si>
    <t>GO:0001658: branching involved in ureteric bud morphogenesis, GO:0001738: morphogenesis of a polarized epithelium, GO:0001755: neural crest cell migration, GO:0001942: hair follicle development, GO:0005102: receptor binding, GO:0005178: integrin binding, GO:0005178: integrin binding, GO:0005515: protein binding, GO:0005576: extracellular region, GO:0005578: proteinaceous extracellular matrix, GO:0005604: basement membrane, GO:0005604: basement membrane, GO:0005605: basal lamina, GO:0005606: laminin-1 complex, GO:0005610: laminin-5 complex, GO:0005615: extracellular space, GO:0007155: cell adhesion, GO:0007229: integrin-mediated signaling pathway, GO:0007517: muscle organ development, GO:0009887: organ morphogenesis, GO:0016331: morphogenesis of embryonic epithelium, GO:0016477: cell migration, GO:0030155: regulation of cell adhesion, GO:0030324: lung development, GO:0030334: regulation of cell migration, GO:0034446: substrate adhesion-dependent cell spreading, GO:0042127: regulation of cell proliferation, GO:0042384: cilium assembly, GO:0042475: odontogenesis of dentin-containing tooth, GO:0043259: laminin-10 complex, GO:0043259: laminin-10 complex, GO:0045995: regulation of embryonic development, GO:0048754: branching morphogenesis of a tube, GO:0060445: branching involved in salivary gland morphogenesis, GO:0090002: establishment of protein localization to plasma membrane</t>
  </si>
  <si>
    <t>84652_at</t>
  </si>
  <si>
    <t>family with sequence similarity 126, member A</t>
  </si>
  <si>
    <t>GO:0003674: molecular_function, GO:0005737: cytoplasm, GO:0008150: biological_process, GO:0016020: membrane</t>
  </si>
  <si>
    <t>64085_at</t>
  </si>
  <si>
    <t>calsyntenin 2</t>
  </si>
  <si>
    <t>GO:0005509: calcium ion binding, GO:0005783: endoplasmic reticulum, GO:0005794: Golgi apparatus, GO:0005886: plasma membrane, GO:0007155: cell adhesion, GO:0007156: homophilic cell adhesion, GO:0016020: membrane, GO:0016021: integral to membrane, GO:0045211: postsynaptic membrane, GO:0045211: postsynaptic membrane</t>
  </si>
  <si>
    <t>54403_at</t>
  </si>
  <si>
    <t>solute carrier family 4 (anion exchanger), member 4</t>
  </si>
  <si>
    <t>GO:0005215: transporter activity, GO:0005452: inorganic anion exchanger activity, GO:0005515: protein binding, GO:0005886: plasma membrane, GO:0005887: integral to plasma membrane, GO:0006810: transport, GO:0006811: ion transport, GO:0006814: sodium ion transport, GO:0006820: anion transport, GO:0006885: regulation of pH, GO:0008509: anion transmembrane transporter activity, GO:0008510: sodium:bicarbonate symporter activity, GO:0015293: symporter activity, GO:0015701: bicarbonate transport, GO:0015701: bicarbonate transport, GO:0016020: membrane, GO:0016021: integral to membrane, GO:0034220: ion transmembrane transport, GO:0055085: transmembrane transport</t>
  </si>
  <si>
    <t>04964: Proximal tubule bicarbonate reclamation, 04972: Pancreatic secretion, 04976: Bile secretion</t>
  </si>
  <si>
    <t>26401_at</t>
  </si>
  <si>
    <t>mitogen-activated protein kinase kinase kinase 1</t>
  </si>
  <si>
    <t>GO:0000165: MAPK cascade, GO:0000166: nucleotide binding, GO:0000186: activation of MAPKK activity, GO:0000209: protein polyubiquitination, GO:0004672: protein kinase activity, GO:0004706: JUN kinase kinase kinase activity, GO:0004709: MAP kinase kinase kinase activity, GO:0004842: ubiquitin-protein ligase activity, GO:0005515: protein binding, GO:0005524: ATP binding, GO:0005622: intracellular, GO:0005737: cytoplasm, GO:0005856: cytoskeleton, GO:0006468: protein phosphorylation, GO:0006970: response to osmotic stress, GO:0007179: transforming growth factor beta receptor signaling pathway, GO:0007254: JNK cascade, GO:0007256: activation of JNKK activity, GO:0007257: activation of JUN kinase activity, GO:0008432: JUN kinase binding, GO:0008545: JUN kinase kinase activity, GO:0008637: apoptotic mitochondrial changes, GO:0018105: peptidyl-serine phosphorylation, GO:0019901: protein kinase binding, GO:0030334: regulation of cell migration, GO:0030838: positive regulation of actin filament polymerization, GO:0031434: mitogen-activated protein kinase kinase binding, GO:0032232: negative regulation of actin filament bundle assembly, GO:0042060: wound healing, GO:0042787: protein ubiquitination involved in ubiquitin-dependent protein catabolic process, GO:0043010: camera-type eye development, GO:0043065: positive regulation of apoptotic process, GO:0043406: positive regulation of MAP kinase activity, GO:0043507: positive regulation of JUN kinase activity, GO:0045944: positive regulation of transcription from RNA polymerase II promoter, GO:0046625: sphingolipid binding, GO:0046777: protein autophosphorylation, GO:0046872: metal ion binding, GO:0050434: positive regulation of viral transcription, GO:0051019: mitogen-activated protein kinase binding, GO:0051259: protein oligomerization</t>
  </si>
  <si>
    <t>04010: MAPK signaling pathway, 04120: Ubiquitin mediated proteolysis, 04622: RIG-I-like receptor signaling pathway, 04722: Neurotrophin signaling pathway, 04912: GnRH signaling pathway</t>
  </si>
  <si>
    <t>231503_at</t>
  </si>
  <si>
    <t>GO:0000166: nucleotide binding, GO:0005524: ATP binding, GO:0005605: basal lamina, GO:0006200: ATP catabolic process, GO:0007186: G-protein coupled receptor signaling pathway, GO:0008152: metabolic process, GO:0009181: purine ribonucleoside diphosphate catabolic process, GO:0016020: membrane, GO:0016021: integral to membrane, GO:0016787: hydrolase activity, GO:0017110: nucleoside-diphosphatase activity, GO:0017111: nucleoside-triphosphatase activity, GO:0030168: platelet activation</t>
  </si>
  <si>
    <t>00230: Purine metabolism, 00240: Pyrimidine metabolism</t>
  </si>
  <si>
    <t>13032_at</t>
  </si>
  <si>
    <t>cathepsin C</t>
  </si>
  <si>
    <t>GO:0001913: T cell mediated cytotoxicity, GO:0004252: serine-type endopeptidase activity, GO:0005764: lysosome, GO:0005783: endoplasmic reticulum, GO:0005794: Golgi apparatus, GO:0006508: proteolysis, GO:0006508: proteolysis, GO:0008152: metabolic process, GO:0008233: peptidase activity, GO:0008234: cysteine-type peptidase activity, GO:0010033: response to organic substance, GO:0016787: hydrolase activity, GO:0031404: chloride ion binding, GO:0042802: identical protein binding, GO:0043621: protein self-association</t>
  </si>
  <si>
    <t>19143_at</t>
  </si>
  <si>
    <t>suppression of tumorigenicity 14 (colon carcinoma)</t>
  </si>
  <si>
    <t>GO:0003824: catalytic activity, GO:0004252: serine-type endopeptidase activity, GO:0005576: extracellular region, GO:0005615: extracellular space, GO:0005887: integral to plasma membrane, GO:0006508: proteolysis, GO:0008152: metabolic process, GO:0008233: peptidase activity, GO:0008236: serine-type peptidase activity, GO:0008236: serine-type peptidase activity, GO:0016020: membrane, GO:0016021: integral to membrane, GO:0016323: basolateral plasma membrane, GO:0016477: cell migration, GO:0016787: hydrolase activity, GO:0019897: extrinsic to plasma membrane, GO:0019897: extrinsic to plasma membrane</t>
  </si>
  <si>
    <t>64058_at</t>
  </si>
  <si>
    <t>PERP, TP53 apoptosis effector</t>
  </si>
  <si>
    <t>GO:0005634: nucleus, GO:0005737: cytoplasm, GO:0005739: mitochondrion, GO:0005794: Golgi apparatus, GO:0005794: Golgi apparatus, GO:0005886: plasma membrane, GO:0005887: integral to plasma membrane, GO:0006915: apoptotic process, GO:0006917: induction of apoptosis, GO:0007155: cell adhesion, GO:0016020: membrane, GO:0016021: integral to membrane, GO:0030054: cell junction</t>
  </si>
  <si>
    <t>23886_at</t>
  </si>
  <si>
    <t>growth differentiation factor 15</t>
  </si>
  <si>
    <t>GO:0005576: extracellular region, GO:0008083: growth factor activity</t>
  </si>
  <si>
    <t>232345_at</t>
  </si>
  <si>
    <t>alpha-2-macroglobulin</t>
  </si>
  <si>
    <t>GO:0001869: negative regulation of complement activation, lectin pathway, GO:0004866: endopeptidase inhibitor activity, GO:0004867: serine-type endopeptidase inhibitor activity, GO:0005515: protein binding, GO:0005576: extracellular region, GO:0005615: extracellular space, GO:0007565: female pregnancy, GO:0010466: negative regulation of peptidase activity, GO:0010951: negative regulation of endopeptidase activity, GO:0010951: negative regulation of endopeptidase activity, GO:0019838: growth factor binding, GO:0019899: enzyme binding, GO:0019959: interleukin-8 binding, GO:0019966: interleukin-1 binding, GO:0030414: peptidase inhibitor activity, GO:0043120: tumor necrosis factor binding, GO:0048863: stem cell differentiation</t>
  </si>
  <si>
    <t>107895_at</t>
  </si>
  <si>
    <t>mannoside acetylglucosaminyltransferase 5</t>
  </si>
  <si>
    <t>GO:0005794: Golgi apparatus, GO:0006487: protein N-linked glycosylation, GO:0008152: metabolic process, GO:0008375: acetylglucosaminyltransferase activity, GO:0016020: membrane, GO:0016021: integral to membrane, GO:0016740: transferase activity, GO:0016757: transferase activity, transferring glycosyl groups, GO:0030144: alpha-1,6-mannosylglycoprotein 6-beta-N-acetylglucosaminyltransferase activity</t>
  </si>
  <si>
    <t>50798_at</t>
  </si>
  <si>
    <t>glucosamine (UDP-N-acetyl)-2-epimerase/N-acetylmannosamine kinase</t>
  </si>
  <si>
    <t>transmembrane protein 150C</t>
  </si>
  <si>
    <t>12495_at</t>
  </si>
  <si>
    <t>ectonucleoside triphosphate diphosphohydrolase 1</t>
  </si>
  <si>
    <t>GO:0000166: nucleotide binding, GO:0003824: catalytic activity, GO:0005524: ATP binding, GO:0005737: cytoplasm, GO:0005829: cytosol, GO:0005975: carbohydrate metabolic process, GO:0006047: UDP-N-acetylglucosamine metabolic process, GO:0006054: N-acetylneuraminate metabolic process, GO:0008152: metabolic process, GO:0008761: UDP-N-acetylglucosamine 2-epimerase activity, GO:0009103: lipopolysaccharide biosynthetic process, GO:0009384: N-acylmannosamine kinase activity, GO:0016301: kinase activity, GO:0016310: phosphorylation, GO:0016740: transferase activity, GO:0016773: phosphotransferase activity, alcohol group as acceptor, GO:0016853: isomerase activity, GO:0046380: N-acetylneuraminate biosynthetic process, GO:0046835: carbohydrate phosphorylation, GO:0046872: metal ion binding</t>
  </si>
  <si>
    <t>00520: Amino sugar and nucleotide sugar metabolism, 01100: Metabolic pathways</t>
  </si>
  <si>
    <t>26903_at</t>
  </si>
  <si>
    <t>dysferlin</t>
  </si>
  <si>
    <t>GO:0001778: plasma membrane repair, GO:0001778: plasma membrane repair, GO:0005515: protein binding, GO:0005544: calcium-dependent phospholipid binding, GO:0005886: plasma membrane, GO:0006906: vesicle fusion, GO:0016020: membrane, GO:0016021: integral to membrane, GO:0030315: T-tubule, GO:0031410: cytoplasmic vesicle, GO:0042383: sarcolemma</t>
  </si>
  <si>
    <t>16190_at</t>
  </si>
  <si>
    <t>interleukin 4 receptor, alpha</t>
  </si>
  <si>
    <t>GO:0002532: production of molecular mediator involved in inflammatory response, GO:0004896: cytokine receptor activity, GO:0005515: protein binding, GO:0005576: extracellular region, GO:0005615: extracellular space, GO:0005886: plasma membrane, GO:0016020: membrane, GO:0016021: integral to membrane, GO:0019221: cytokine-mediated signaling pathway, GO:0042127: regulation of cell proliferation, GO:0043032: positive regulation of macrophage activation, GO:0045626: negative regulation of T-helper 1 cell differentiation, GO:0045630: positive regulation of T-helper 2 cell differentiation, GO:0090197: positive regulation of chemokine secretion</t>
  </si>
  <si>
    <t>GO:0004721: phosphoprotein phosphatase activity, GO:0005622: intracellular, GO:0005975: carbohydrate metabolic process, GO:0005977: glycogen metabolic process, GO:0005978: glycogen biosynthetic process, GO:0005979: regulation of glycogen biosynthetic process, GO:0005981: regulation of glycogen catabolic process, GO:0006605: protein targeting, GO:0019899: enzyme binding, GO:0019903: protein phosphatase binding, GO:0042587: glycogen granule</t>
  </si>
  <si>
    <t>04910: Insulin signaling pathway</t>
  </si>
  <si>
    <t>338367_at</t>
  </si>
  <si>
    <t>myosin ID</t>
  </si>
  <si>
    <t>GO:0000166: nucleotide binding, GO:0003774: motor activity, GO:0003779: actin binding, GO:0005516: calmodulin binding, GO:0005524: ATP binding, GO:0008152: metabolic process, GO:0010923: negative regulation of phosphatase activity, GO:0016459: myosin complex</t>
  </si>
  <si>
    <t>68337_at</t>
  </si>
  <si>
    <t>GO:0000166: nucleotide binding, GO:0000287: magnesium ion binding, GO:0004019: adenylosuccinate synthase activity, GO:0004019: adenylosuccinate synthase activity, GO:0005515: protein binding, GO:0005525: GTP binding, GO:0005737: cytoplasm, GO:0005737: cytoplasm, GO:0006163: purine nucleotide metabolic process, GO:0006164: purine nucleotide biosynthetic process, GO:0006167: AMP biosynthetic process, GO:0016020: membrane, GO:0016874: ligase activity, GO:0046872: metal ion binding</t>
  </si>
  <si>
    <t>00230: Purine metabolism, 00250: Alanine, aspartate and glutamate metabolism, 01100: Metabolic pathways</t>
  </si>
  <si>
    <t>14404_at</t>
  </si>
  <si>
    <t>gamma-aminobutyric acid (GABA) A receptor, subunit epsilon</t>
  </si>
  <si>
    <t>GO:0004890: GABA-A receptor activity, GO:0004890: GABA-A receptor activity, GO:0005216: ion channel activity, GO:0005886: plasma membrane, GO:0005887: integral to plasma membrane, GO:0006810: transport, GO:0006811: ion transport, GO:0006821: chloride transport, GO:0007214: gamma-aminobutyric acid signaling pathway, GO:0007214: gamma-aminobutyric acid signaling pathway, GO:0016020: membrane, GO:0016021: integral to membrane, GO:0030054: cell junction, GO:0034220: ion transmembrane transport, GO:0045202: synapse, GO:0045211: postsynaptic membrane</t>
  </si>
  <si>
    <t>14961_at</t>
  </si>
  <si>
    <t>histocompatibility 2, class II antigen A, beta 1</t>
  </si>
  <si>
    <t>04060: Cytokine-cytokine receptor interaction, 04630: Jak-STAT signaling pathway, 04640: Hematopoietic cell lineage</t>
  </si>
  <si>
    <t>223649_at</t>
  </si>
  <si>
    <t>nuclear receptor binding protein 2</t>
  </si>
  <si>
    <t>GO:0003674: molecular_function, GO:0004672: protein kinase activity, GO:0005524: ATP binding, GO:0005737: cytoplasm, GO:0006468: protein phosphorylation, GO:0007399: nervous system development, GO:0016242: negative regulation of macroautophagy, GO:0016772: transferase activity, transferring phosphorus-containing groups, GO:0043524: negative regulation of neuron apoptotic process</t>
  </si>
  <si>
    <t>16525_at</t>
  </si>
  <si>
    <t>potassium channel, subfamily K, member 1</t>
  </si>
  <si>
    <t>GO:0005216: ion channel activity, GO:0005244: voltage-gated ion channel activity, GO:0005267: potassium channel activity, GO:0005515: protein binding, GO:0005737: cytoplasm, GO:0005768: endosome, GO:0006810: transport, GO:0006811: ion transport, GO:0006813: potassium ion transport, GO:0016020: membrane, GO:0016021: integral to membrane, GO:0016324: apical plasma membrane, GO:0031526: brush border membrane, GO:0034765: regulation of ion transmembrane transport, GO:0071805: potassium ion transmembrane transport</t>
  </si>
  <si>
    <t>53412_at</t>
  </si>
  <si>
    <t>protein phosphatase 1, regulatory (inhibitor) subunit 3C</t>
  </si>
  <si>
    <t>GO:0002344: B cell affinity maturation, GO:0002381: immunoglobulin production involved in immunoglobulin mediated immune response, GO:0002455: humoral immune response mediated by circulating immunoglobulin, GO:0002504: antigen processing and presentation of peptide or polysaccharide antigen via MHC class II, GO:0002579: positive regulation of antigen processing and presentation, GO:0002827: positive regulation of T-helper 1 type immune response, GO:0005515: protein binding, GO:0005622: intracellular, GO:0005769: early endosome, GO:0005771: multivesicular body, GO:0005794: Golgi apparatus, GO:0005886: plasma membrane, GO:0006955: immune response, GO:0008134: transcription factor binding, GO:0009897: external side of plasma membrane, GO:0009986: cell surface, GO:0015643: toxin binding, GO:0016020: membrane, GO:0016021: integral to membrane, GO:0019882: antigen processing and presentation, GO:0019886: antigen processing and presentation of exogenous peptide antigen via MHC class II, GO:0031625: ubiquitin protein ligase binding, GO:0042130: negative regulation of T cell proliferation, GO:0042605: peptide antigen binding, GO:0042613: MHC class II protein complex, GO:0046635: positive regulation of alpha-beta T cell activation, GO:0046635: positive regulation of alpha-beta T cell activation, GO:0046635: positive regulation of alpha-beta T cell activation, GO:0046982: protein heterodimerization activity, GO:0048002: antigen processing and presentation of peptide antigen, GO:0070491: repressing transcription factor binding, GO:0071346: cellular response to interferon-gamma</t>
  </si>
  <si>
    <t>381853_at</t>
  </si>
  <si>
    <t>gastric inhibitory polypeptide receptor</t>
  </si>
  <si>
    <t>cysteine rich protein 2</t>
  </si>
  <si>
    <t>GO:0005515: protein binding, GO:0005938: cell cortex, GO:0008270: zinc ion binding, GO:0008284: positive regulation of cell proliferation, GO:0030097: hemopoiesis, GO:0046872: metal ion binding</t>
  </si>
  <si>
    <t>11565_at</t>
  </si>
  <si>
    <t>adenylosuccinate synthetase like 1</t>
  </si>
  <si>
    <t>13123_at</t>
  </si>
  <si>
    <t>cytochrome P450, family 7, subfamily b, polypeptide 1</t>
  </si>
  <si>
    <t>GO:0002029: desensitization of G-protein coupled receptor protein signaling pathway, GO:0004871: signal transducer activity, GO:0004872: receptor activity, GO:0004888: transmembrane signaling receptor activity, GO:0004930: G-protein coupled receptor activity, GO:0005886: plasma membrane, GO:0007165: signal transduction, GO:0007166: cell surface receptor signaling pathway, GO:0007186: G-protein coupled receptor signaling pathway, GO:0007204: elevation of cytosolic calcium ion concentration, GO:0007218: neuropeptide signaling pathway, GO:0016020: membrane, GO:0016021: integral to membrane, GO:0016519: gastric inhibitory peptide receptor activity, GO:0017046: peptide hormone binding, GO:0030819: positive regulation of cAMP biosynthetic process, GO:0031018: endocrine pancreas development, GO:0032024: positive regulation of insulin secretion, GO:0051592: response to calcium ion</t>
  </si>
  <si>
    <t>723919_at</t>
  </si>
  <si>
    <t>microRNA 452</t>
  </si>
  <si>
    <t>67865_at</t>
  </si>
  <si>
    <t>regulator of G-protein signalling 10</t>
  </si>
  <si>
    <t>GO:0005096: GTPase activator activity, GO:0005515: protein binding, GO:0005634: nucleus, GO:0005737: cytoplasm, GO:0005886: plasma membrane, GO:0009968: negative regulation of signal transduction, GO:0038032: termination of G-protein coupled receptor signaling pathway, GO:0043025: neuronal cell body, GO:0043197: dendritic spine, GO:0043547: positive regulation of GTPase activity, GO:0043679: axon terminus</t>
  </si>
  <si>
    <t>50782_at</t>
  </si>
  <si>
    <t>regulator of G-protein signaling 11</t>
  </si>
  <si>
    <t>GO:0005096: GTPase activator activity, GO:0005096: GTPase activator activity, GO:0005515: protein binding, GO:0005737: cytoplasm, GO:0005886: plasma membrane, GO:0007186: G-protein coupled receptor signaling pathway, GO:0043234: protein complex, GO:0043547: positive regulation of GTPase activity, GO:0043547: positive regulation of GTPase activity, GO:0044292: dendrite terminus</t>
  </si>
  <si>
    <t>77974_at</t>
  </si>
  <si>
    <t>retinol dehydrogenase 12</t>
  </si>
  <si>
    <t>GO:0003677: DNA binding, GO:0003680: AT DNA binding, GO:0003690: double-stranded DNA binding, GO:0003700: sequence-specific DNA binding transcription factor activity, GO:0005634: nucleus, GO:0006351: transcription, DNA-dependent, GO:0006355: regulation of transcription, DNA-dependent, GO:0006366: transcription from RNA polymerase II promoter, GO:0007605: sensory perception of sound, GO:0021879: forebrain neuron differentiation, GO:0043565: sequence-specific DNA binding, GO:0044424: intracellular part, GO:0048839: inner ear development, GO:0090103: cochlea morphogenesis, GO:2001054: negative regulation of mesenchymal cell apoptotic process</t>
  </si>
  <si>
    <t>210293_at</t>
  </si>
  <si>
    <t>dedicator of cytokinesis 10</t>
  </si>
  <si>
    <t>GO:0005089: Rho guanyl-nucleotide exchange factor activity, GO:0005575: cellular_component, GO:0017048: Rho GTPase binding</t>
  </si>
  <si>
    <t>18109_at</t>
  </si>
  <si>
    <t>GO:0000166: nucleotide binding, GO:0004745: retinol dehydrogenase activity, GO:0005622: intracellular, GO:0007601: visual perception, GO:0008152: metabolic process, GO:0016491: oxidoreductase activity, GO:0042572: retinol metabolic process, GO:0050896: response to stimulus, GO:0055114: oxidation-reduction process</t>
  </si>
  <si>
    <t>243634_at</t>
  </si>
  <si>
    <t>anoctamin 2</t>
  </si>
  <si>
    <t>GO:0005216: ion channel activity, GO:0005229: intracellular calcium activated chloride channel activity, GO:0005229: intracellular calcium activated chloride channel activity, GO:0005254: chloride channel activity, GO:0005515: protein binding, GO:0005634: nucleus, GO:0005886: plasma membrane, GO:0005886: plasma membrane, GO:0006810: transport, GO:0006811: ion transport, GO:0006821: chloride transport, GO:0006821: chloride transport, GO:0016020: membrane, GO:0016021: integral to membrane, GO:0034220: ion transmembrane transport, GO:0034220: ion transmembrane transport, GO:0034707: chloride channel complex</t>
  </si>
  <si>
    <t>207683_at</t>
  </si>
  <si>
    <t>immunoglobulin superfamily, member 11</t>
  </si>
  <si>
    <t>GO:0005886: plasma membrane, GO:0007155: cell adhesion, GO:0016020: membrane, GO:0016021: integral to membrane, GO:0040008: regulation of growth</t>
  </si>
  <si>
    <t>GO:0005737: cytoplasm, GO:0005739: mitochondrion, GO:0005743: mitochondrial inner membrane, GO:0005758: mitochondrial intermembrane space, GO:0006601: creatine biosynthetic process, GO:0007584: response to nutrient, GO:0008152: metabolic process, GO:0010033: response to organic substance, GO:0015067: amidinotransferase activity, GO:0015068: glycine amidinotransferase activity, GO:0016020: membrane, GO:0016740: transferase activity, GO:0016813: hydrolase activity, acting on carbon-nitrogen (but not peptide) bonds, in linear amidines, GO:0043434: response to peptide hormone stimulus, GO:0046689: response to mercury ion</t>
  </si>
  <si>
    <t>00260: Glycine, serine and threonine metabolism, 00330: Arginine and proline metabolism, 01100: Metabolic pathways</t>
  </si>
  <si>
    <t>13612_at</t>
  </si>
  <si>
    <t>EGF-like repeats and discoidin I-like domains 3</t>
  </si>
  <si>
    <t>GO:0004497: monooxygenase activity, GO:0005506: iron ion binding, GO:0005783: endoplasmic reticulum, GO:0006629: lipid metabolic process, GO:0006699: bile acid biosynthetic process, GO:0007586: digestion, GO:0007613: memory, GO:0007623: circadian rhythm, GO:0008202: steroid metabolic process, GO:0008203: cholesterol metabolic process, GO:0008396: oxysterol 7-alpha-hydroxylase activity, GO:0009055: electron carrier activity, GO:0016020: membrane, GO:0016491: oxidoreductase activity, GO:0016705: oxidoreductase activity, acting on paired donors, with incorporation or reduction of molecular oxygen, GO:0020037: heme binding, GO:0033147: negative regulation of intracellular estrogen receptor signaling pathway, GO:0033783: 25-hydroxycholesterol 7alpha-hydroxylase activity, GO:0043231: intracellular membrane-bounded organelle, GO:0046872: metal ion binding, GO:0050679: positive regulation of epithelial cell proliferation, GO:0055114: oxidation-reduction process, GO:0060740: prostate gland epithelium morphogenesis</t>
  </si>
  <si>
    <t>00120: Primary bile acid biosynthesis, 00140: Steroid hormone biosynthesis</t>
  </si>
  <si>
    <t>18994_at</t>
  </si>
  <si>
    <t>POU domain, class 3, transcription factor 4</t>
  </si>
  <si>
    <t>GO:0001502: cartilage condensation, GO:0002053: positive regulation of mesenchymal cell proliferation, GO:0003677: DNA binding, GO:0003700: sequence-specific DNA binding transcription factor activity, GO:0005515: protein binding, GO:0005634: nucleus, GO:0005634: nucleus, GO:0006355: regulation of transcription, DNA-dependent, GO:0008284: positive regulation of cell proliferation, GO:0010942: positive regulation of cell death, GO:0030324: lung development, GO:0042733: embryonic digit morphogenesis, GO:0045893: positive regulation of transcription, DNA-dependent, GO:0045944: positive regulation of transcription from RNA polymerase II promoter, GO:0046983: protein dimerization activity, GO:0048704: embryonic skeletal system morphogenesis, GO:0048712: negative regulation of astrocyte differentiation, GO:0048754: branching morphogenesis of a tube, GO:2000378: negative regulation of reactive oxygen species metabolic process</t>
  </si>
  <si>
    <t>70423_at</t>
  </si>
  <si>
    <t>tetraspanin 15</t>
  </si>
  <si>
    <t>67092_at</t>
  </si>
  <si>
    <t>glycine amidinotransferase (L-arginine:glycine amidinotransferase)</t>
  </si>
  <si>
    <t>232156_at</t>
  </si>
  <si>
    <t>solute carrier family 4, sodium bicarbonate cotransporter, member 5</t>
  </si>
  <si>
    <t>04976: Bile secretion</t>
  </si>
  <si>
    <t>66214_at</t>
  </si>
  <si>
    <t>RIKEN cDNA 1190002H23 gene</t>
  </si>
  <si>
    <t>GO:0005515: protein binding, GO:0005634: nucleus, GO:0005730: nucleolus, GO:0005737: cytoplasm, GO:0005856: cytoskeleton, GO:0007049: cell cycle, GO:0030295: protein kinase activator activity, GO:0045860: positive regulation of protein kinase activity, GO:0072537: fibroblast activation</t>
  </si>
  <si>
    <t>16512_at</t>
  </si>
  <si>
    <t>potassium voltage-gated channel, subfamily H (eag-related), member 3</t>
  </si>
  <si>
    <t>GO:0005509: calcium ion binding, GO:0005576: extracellular region, GO:0007155: cell adhesion, GO:0007275: multicellular organismal development, GO:0010811: positive regulation of cell-substrate adhesion</t>
  </si>
  <si>
    <t>269132_at</t>
  </si>
  <si>
    <t>glycosyltransferase 25 domain containing 2</t>
  </si>
  <si>
    <t>GO:0005216: ion channel activity, GO:0006810: transport, GO:0006811: ion transport, GO:0016020: membrane, GO:0016021: integral to membrane, GO:0034220: ion transmembrane transport</t>
  </si>
  <si>
    <t>GO:0003674: molecular_function, GO:0005575: cellular_component, GO:0005783: endoplasmic reticulum, GO:0008150: biological_process, GO:0009103: lipopolysaccharide biosynthetic process, GO:0016740: transferase activity, GO:0016757: transferase activity, transferring glycosyl groups, GO:0050211: procollagen galactosyltransferase activity</t>
  </si>
  <si>
    <t>00310: Lysine degradation, 00514: Other types of O-glycan biosynthesis</t>
  </si>
  <si>
    <t>70127_at</t>
  </si>
  <si>
    <t>D4, zinc and double PHD fingers, family 3</t>
  </si>
  <si>
    <t>GO:0003676: nucleic acid binding, GO:0005622: intracellular, GO:0005634: nucleus, GO:0006351: transcription, DNA-dependent, GO:0006355: regulation of transcription, DNA-dependent, GO:0007399: nervous system development, GO:0008270: zinc ion binding, GO:0016568: chromatin modification, GO:0046872: metal ion binding, GO:0071565: nBAF complex</t>
  </si>
  <si>
    <t>21664_at</t>
  </si>
  <si>
    <t>pleckstrin homology-like domain, family A, member 1</t>
  </si>
  <si>
    <t>GO:0005543: phospholipid binding, GO:0005634: nucleus, GO:0005737: cytoplasm, GO:0005886: plasma membrane, GO:0006915: apoptotic process, GO:0006917: induction of apoptosis, GO:0016020: membrane, GO:0031410: cytoplasmic vesicle, GO:0045210: FasL biosynthetic process</t>
  </si>
  <si>
    <t>73338_at</t>
  </si>
  <si>
    <t>inositol 1,4,5-triphosphate receptor interacting protein-like 1</t>
  </si>
  <si>
    <t>100503054_at</t>
  </si>
  <si>
    <t>predicted gene, 19528</t>
  </si>
  <si>
    <t>121022_at</t>
  </si>
  <si>
    <t>mitochondrial ribosomal protein S6</t>
  </si>
  <si>
    <t>GO:0003735: structural constituent of ribosome, GO:0005739: mitochondrion, GO:0005840: ribosome, GO:0006412: translation, GO:0019843: rRNA binding, GO:0030529: ribonucleoprotein complex</t>
  </si>
  <si>
    <t>17750_at</t>
  </si>
  <si>
    <t>metallothionein 2</t>
  </si>
  <si>
    <t>v-myc myelocytomatosis viral related oncogene, neuroblastoma derived (avian)</t>
  </si>
  <si>
    <t>gamma-aminobutyric acid (GABA) A receptor, subunit alpha 3</t>
  </si>
  <si>
    <t>GO:0000155: two-component sensor activity, GO:0000160: two-component signal transduction system (phosphorelay), GO:0004871: signal transducer activity, GO:0005216: ion channel activity, GO:0005244: voltage-gated ion channel activity, GO:0005249: voltage-gated potassium channel activity, GO:0005267: potassium channel activity, GO:0006355: regulation of transcription, DNA-dependent, GO:0006468: protein phosphorylation, GO:0006810: transport, GO:0006811: ion transport, GO:0006813: potassium ion transport, GO:0007165: signal transduction, GO:0016020: membrane, GO:0016021: integral to membrane, GO:0034765: regulation of ion transmembrane transport, GO:0055085: transmembrane transport, GO:0071805: potassium ion transmembrane transport</t>
  </si>
  <si>
    <t>11541_at</t>
  </si>
  <si>
    <t>adenosine A2b receptor</t>
  </si>
  <si>
    <t>GO:0006882: cellular zinc ion homeostasis, GO:0007263: nitric oxide mediated signal transduction, GO:0008144: drug binding, GO:0008270: zinc ion binding, GO:0008270: zinc ion binding, GO:0010273: detoxification of copper ion, GO:0035690: cellular response to drug, GO:0046870: cadmium ion binding, GO:0046872: metal ion binding</t>
  </si>
  <si>
    <t>241230_at</t>
  </si>
  <si>
    <t>ST8 alpha-N-acetyl-neuraminide alpha-2,8-sialyltransferase 6</t>
  </si>
  <si>
    <t>GO:0001574: ganglioside biosynthetic process, GO:0005794: Golgi apparatus, GO:0006486: protein glycosylation, GO:0006493: protein O-linked glycosylation, GO:0008373: sialyltransferase activity, GO:0009100: glycoprotein metabolic process, GO:0009247: glycolipid biosynthetic process, GO:0009311: oligosaccharide metabolic process, GO:0016020: membrane, GO:0016021: integral to membrane, GO:0016051: carbohydrate biosynthetic process, GO:0016740: transferase activity, GO:0016757: transferase activity, transferring glycosyl groups, GO:0030173: integral to Golgi membrane</t>
  </si>
  <si>
    <t>16529_at</t>
  </si>
  <si>
    <t>potassium channel, subfamily K, member 5</t>
  </si>
  <si>
    <t>18094_at</t>
  </si>
  <si>
    <t>NK2 transcription factor related, locus 9 (Drosophila)</t>
  </si>
  <si>
    <t>GO:0001609: G-protein coupled adenosine receptor activity, GO:0001973: adenosine receptor signaling pathway, GO:0002882: positive regulation of chronic inflammatory response to non-antigenic stimulus, GO:0004871: signal transducer activity, GO:0004930: G-protein coupled receptor activity, GO:0005886: plasma membrane, GO:0005886: plasma membrane, GO:0007165: signal transduction, GO:0007186: G-protein coupled receptor signaling pathway, GO:0007189: adenylate cyclase-activating G-protein coupled receptor signaling pathway, GO:0008284: positive regulation of cell proliferation, GO:0008285: negative regulation of cell proliferation, GO:0009986: cell surface, GO:0010575: positive regulation vascular endothelial growth factor production, GO:0010701: positive regulation of norepinephrine secretion, GO:0010893: positive regulation of steroid biosynthetic process, GO:0016020: membrane, GO:0016021: integral to membrane, GO:0030819: positive regulation of cAMP biosynthetic process, GO:0030819: positive regulation of cAMP biosynthetic process, GO:0030828: positive regulation of cGMP biosynthetic process, GO:0031284: positive regulation of guanylate cyclase activity, GO:0031668: cellular response to extracellular stimulus, GO:0032722: positive regulation of chemokine production, GO:0032755: positive regulation of interleukin-6 production, GO:0032966: negative regulation of collagen biosynthetic process, GO:0033605: positive regulation of catecholamine secretion, GO:0043306: positive regulation of mast cell degranulation, GO:0045765: regulation of angiogenesis, GO:0045909: positive regulation of vasodilation, GO:0060087: relaxation of vascular smooth muscle</t>
  </si>
  <si>
    <t>241494_at</t>
  </si>
  <si>
    <t>zinc finger protein 385B</t>
  </si>
  <si>
    <t>GO:0003676: nucleic acid binding, GO:0005622: intracellular, GO:0005634: nucleus, GO:0008150: biological_process, GO:0008270: zinc ion binding, GO:0046872: metal ion binding</t>
  </si>
  <si>
    <t>237313_at</t>
  </si>
  <si>
    <t>interleukin 20 receptor, alpha</t>
  </si>
  <si>
    <t>ecto-NOX disulfide-thiol exchanger 1</t>
  </si>
  <si>
    <t>GO:0005096: GTPase activator activity, GO:0005737: cytoplasm, GO:0005886: plasma membrane, GO:0043547: positive regulation of GTPase activity</t>
  </si>
  <si>
    <t>14396_at</t>
  </si>
  <si>
    <t>uncharacterized LOC100861846</t>
  </si>
  <si>
    <t>100862030_at</t>
  </si>
  <si>
    <t>uncharacterized LOC100862030</t>
  </si>
  <si>
    <t>15417_at</t>
  </si>
  <si>
    <t>homeobox B9</t>
  </si>
  <si>
    <t>GO:0001525: angiogenesis, GO:0001948: glycoprotein binding, GO:0005070: SH3/SH2 adaptor activity, GO:0005575: cellular_component, GO:0005737: cytoplasm, GO:0005886: plasma membrane, GO:0006915: apoptotic process, GO:0007275: multicellular organismal development, GO:0009967: positive regulation of signal transduction, GO:0016020: membrane, GO:0030154: cell differentiation, GO:0042100: B cell proliferation</t>
  </si>
  <si>
    <t>22317_at</t>
  </si>
  <si>
    <t>vesicle-associated membrane protein 1</t>
  </si>
  <si>
    <t>Ca2+-dependent activator protein for secretion 2</t>
  </si>
  <si>
    <t>13867_at</t>
  </si>
  <si>
    <t>v-erb-b2 erythroblastic leukemia viral oncogene homolog 3 (avian)</t>
  </si>
  <si>
    <t>GO:0003677: DNA binding, GO:0005634: nucleus, GO:0005739: mitochondrion, GO:0009952: anterior/posterior pattern specification, GO:0009952: anterior/posterior pattern specification, GO:0030879: mammary gland development, GO:0045944: positive regulation of transcription from RNA polymerase II promoter, GO:0048706: embryonic skeletal system development, GO:0048706: embryonic skeletal system development, GO:0060070: canonical Wnt receptor signaling pathway, GO:0060326: cell chemotaxis</t>
  </si>
  <si>
    <t>12561_at</t>
  </si>
  <si>
    <t>cadherin 4</t>
  </si>
  <si>
    <t>GO:0000166: nucleotide binding, GO:0003674: molecular_function, GO:0003676: nucleic acid binding, GO:0005576: extracellular region, GO:0005886: plasma membrane, GO:0006810: transport, GO:0008150: biological_process, GO:0016020: membrane, GO:0016491: oxidoreductase activity, GO:0022900: electron transport chain, GO:0048511: rhythmic process, GO:0055114: oxidation-reduction process</t>
  </si>
  <si>
    <t>230126_at</t>
  </si>
  <si>
    <t>src homology 2 domain-containing transforming protein B</t>
  </si>
  <si>
    <t>04060: Cytokine-cytokine receptor interaction, 04630: Jak-STAT signaling pathway</t>
  </si>
  <si>
    <t>380705_at</t>
  </si>
  <si>
    <t>transmembrane protein 102</t>
  </si>
  <si>
    <t>GO:0003674: molecular_function, GO:0005622: intracellular, GO:0005886: plasma membrane, GO:0006915: apoptotic process, GO:0007165: signal transduction, GO:0009986: cell surface, GO:0016020: membrane, GO:0016021: integral to membrane, GO:0034097: response to cytokine stimulus, GO:0042981: regulation of apoptotic process</t>
  </si>
  <si>
    <t>GO:0003677: DNA binding, GO:0003690: double-stranded DNA binding, GO:0003700: sequence-specific DNA binding transcription factor activity, GO:0005634: nucleus, GO:0006351: transcription, DNA-dependent, GO:0006355: regulation of transcription, DNA-dependent, GO:0006366: transcription from RNA polymerase II promoter, GO:0007409: axonogenesis, GO:0030323: respiratory tube development, GO:0030324: lung development, GO:0043565: sequence-specific DNA binding, GO:0050680: negative regulation of epithelial cell proliferation</t>
  </si>
  <si>
    <t>626596_at</t>
  </si>
  <si>
    <t>regulator of G-protein signalling 22</t>
  </si>
  <si>
    <t>GO:0004871: signal transducer activity, GO:0004930: G-protein coupled receptor activity, GO:0004994: somatostatin receptor activity, GO:0004994: somatostatin receptor activity, GO:0004994: somatostatin receptor activity, GO:0005737: cytoplasm, GO:0005886: plasma membrane, GO:0005886: plasma membrane, GO:0006937: regulation of muscle contraction, GO:0007165: signal transduction, GO:0007186: G-protein coupled receptor signaling pathway, GO:0007186: G-protein coupled receptor signaling pathway, GO:0007193: adenylate cyclase-inhibiting G-protein coupled receptor signaling pathway, GO:0007218: neuropeptide signaling pathway, GO:0007218: neuropeptide signaling pathway, GO:0007268: synaptic transmission, GO:0016020: membrane, GO:0016021: integral to membrane, GO:0030165: PDZ domain binding, GO:0030432: peristalsis, GO:0038170: somatostatin signaling pathway, GO:0038170: somatostatin signaling pathway, GO:0038170: somatostatin signaling pathway</t>
  </si>
  <si>
    <t>04080: Neuroactive ligand-receptor interaction, 04971: Gastric acid secretion</t>
  </si>
  <si>
    <t>239188_at</t>
  </si>
  <si>
    <t>GO:0005739: mitochondrion, GO:0016020: membrane, GO:0016021: integral to membrane, GO:0016192: vesicle-mediated transport, GO:0030054: cell junction, GO:0031410: cytoplasmic vesicle, GO:0043005: neuron projection, GO:0045202: synapse</t>
  </si>
  <si>
    <t>100861846_at</t>
  </si>
  <si>
    <t>GO:0004890: GABA-A receptor activity, GO:0005216: ion channel activity, GO:0005230: extracellular ligand-gated ion channel activity, GO:0005254: chloride channel activity, GO:0005886: plasma membrane, GO:0006810: transport, GO:0006811: ion transport, GO:0006821: chloride transport, GO:0007165: signal transduction, GO:0007214: gamma-aminobutyric acid signaling pathway, GO:0007268: synaptic transmission, GO:0016020: membrane, GO:0016021: integral to membrane, GO:0030054: cell junction, GO:0034220: ion transmembrane transport, GO:0034707: chloride channel complex, GO:0045202: synapse, GO:0045211: postsynaptic membrane</t>
  </si>
  <si>
    <t>230903_at</t>
  </si>
  <si>
    <t>F-box protein 44</t>
  </si>
  <si>
    <t>GO:0003674: molecular_function, GO:0008150: biological_process, GO:0019005: SCF ubiquitin ligase complex, GO:0030163: protein catabolic process</t>
  </si>
  <si>
    <t>320405_at</t>
  </si>
  <si>
    <t>GO:0005515: protein binding, GO:0005543: phospholipid binding, GO:0005623: cell, GO:0006810: transport, GO:0006887: exocytosis, GO:0008289: lipid binding, GO:0015031: protein transport, GO:0016020: membrane, GO:0016023: cytoplasmic membrane-bounded vesicle, GO:0016082: synaptic vesicle priming, GO:0030054: cell junction, GO:0031410: cytoplasmic vesicle, GO:0042734: presynaptic membrane, GO:0045202: synapse, GO:0045211: postsynaptic membrane, GO:0045921: positive regulation of exocytosis, GO:0046872: metal ion binding</t>
  </si>
  <si>
    <t>20606_at</t>
  </si>
  <si>
    <t>somatostatin receptor 2</t>
  </si>
  <si>
    <t>GO:0005509: calcium ion binding, GO:0005886: plasma membrane, GO:0005887: integral to plasma membrane, GO:0007155: cell adhesion, GO:0007156: homophilic cell adhesion, GO:0007157: heterophilic cell-cell adhesion, GO:0007411: axon guidance, GO:0016020: membrane, GO:0016021: integral to membrane, GO:0045773: positive regulation of axon extension</t>
  </si>
  <si>
    <t>GO:0000166: nucleotide binding, GO:0003197: endocardial cushion development, GO:0004672: protein kinase activity, GO:0004714: transmembrane receptor protein tyrosine kinase activity, GO:0004716: receptor signaling protein tyrosine kinase activity, GO:0005515: protein binding, GO:0005524: ATP binding, GO:0005615: extracellular space, GO:0005634: nucleus, GO:0006468: protein phosphorylation, GO:0007162: negative regulation of cell adhesion, GO:0007165: signal transduction, GO:0007169: transmembrane receptor protein tyrosine kinase signaling pathway, GO:0007422: peripheral nervous system development, GO:0009968: negative regulation of signal transduction, GO:0014037: Schwann cell differentiation, GO:0014065: phosphatidylinositol 3-kinase cascade, GO:0016020: membrane, GO:0016021: integral to membrane, GO:0016301: kinase activity, GO:0016310: phosphorylation, GO:0016323: basolateral plasma membrane, GO:0016324: apical plasma membrane, GO:0016328: lateral plasma membrane, GO:0016740: transferase activity, GO:0016772: transferase activity, transferring phosphorus-containing groups, GO:0019838: growth factor binding, GO:0021545: cranial nerve development, GO:0030296: protein tyrosine kinase activator activity, GO:0042127: regulation of cell proliferation, GO:0043524: negative regulation of neuron apoptotic process, GO:0045211: postsynaptic membrane, GO:0046326: positive regulation of glucose import, GO:0046982: protein heterodimerization activity, GO:0051048: negative regulation of secretion, GO:0051402: neuron apoptotic process, GO:0061098: positive regulation of protein tyrosine kinase activity</t>
  </si>
  <si>
    <t>04012: ErbB signaling pathway, 04020: Calcium signaling pathway, 04144: Endocytosis</t>
  </si>
  <si>
    <t>67664_at</t>
  </si>
  <si>
    <t>ring finger protein 125</t>
  </si>
  <si>
    <t>GO:0005575: cellular_component, GO:0005622: intracellular, GO:0008150: biological_process, GO:0008152: metabolic process, GO:0008270: zinc ion binding, GO:0016874: ligase activity, GO:0046872: metal ion binding</t>
  </si>
  <si>
    <t>04622: RIG-I-like receptor signaling pathway</t>
  </si>
  <si>
    <t>GO:0031410: cytoplasmic vesicle, GO:0046872: metal ion binding, GO:0060385: axonogenesis involved in innervation</t>
  </si>
  <si>
    <t>107371_at</t>
  </si>
  <si>
    <t>exocyst complex component 6</t>
  </si>
  <si>
    <t>GO:0030218: erythrocyte differentiation</t>
  </si>
  <si>
    <t>244431_at</t>
  </si>
  <si>
    <t>sarcoglycan zeta</t>
  </si>
  <si>
    <t>GO:0005515: protein binding, GO:0005737: cytoplasm, GO:0005856: cytoskeleton, GO:0005886: plasma membrane, GO:0007010: cytoskeleton organization, GO:0016012: sarcoglycan complex, GO:0016020: membrane, GO:0016021: integral to membrane, GO:0016044: cellular membrane organization</t>
  </si>
  <si>
    <t>20855_at</t>
  </si>
  <si>
    <t>stanniocalcin 1</t>
  </si>
  <si>
    <t>GO:0001503: ossification, GO:0005179: hormone activity, GO:0005576: extracellular region, GO:0005615: extracellular space, GO:0005737: cytoplasm, GO:0006874: cellular calcium ion homeostasis, GO:0016324: apical plasma membrane, GO:0030320: cellular monovalent inorganic anion homeostasis</t>
  </si>
  <si>
    <t>17761_at</t>
  </si>
  <si>
    <t>microtubule-associated protein 7</t>
  </si>
  <si>
    <t>GO:0000902: cell morphogenesis, GO:0001578: microtubule bundle formation, GO:0005102: receptor binding, GO:0005515: protein binding, GO:0005737: cytoplasm, GO:0005856: cytoskeleton, GO:0005874: microtubule, GO:0005886: plasma membrane, GO:0006687: glycosphingolipid metabolic process, GO:0006970: response to osmotic stress, GO:0006970: response to osmotic stress, GO:0006997: nucleus organization, GO:0007281: germ cell development, GO:0007283: spermatogenesis, GO:0008283: cell proliferation, GO:0009566: fertilization, GO:0015630: microtubule cytoskeleton, GO:0016020: membrane, GO:0032526: response to retinoic acid, GO:0033327: Leydig cell differentiation, GO:0035265: organ growth, GO:0048872: homeostasis of number of cells, GO:0060009: Sertoli cell development, GO:0072659: protein localization to plasma membrane</t>
  </si>
  <si>
    <t>11443_at</t>
  </si>
  <si>
    <t>cholinergic receptor, nicotinic, beta polypeptide 1 (muscle)</t>
  </si>
  <si>
    <t>GO:0001941: postsynaptic membrane organization, GO:0004889: acetylcholine-activated cation-selective channel activity, GO:0004889: acetylcholine-activated cation-selective channel activity, GO:0005216: ion channel activity, GO:0005230: extracellular ligand-gated ion channel activity, GO:0005515: protein binding, GO:0005886: plasma membrane, GO:0005892: acetylcholine-gated channel complex, GO:0005892: acetylcholine-gated channel complex, GO:0006810: transport, GO:0006811: ion transport, GO:0006812: cation transport, GO:0006936: muscle contraction, GO:0007165: signal transduction, GO:0007271: synaptic transmission, cholinergic, GO:0007274: neuromuscular synaptic transmission, GO:0015267: channel activity, GO:0015276: ligand-gated ion channel activity, GO:0016020: membrane, GO:0016021: integral to membrane, GO:0030054: cell junction, GO:0034220: ion transmembrane transport, GO:0034220: ion transmembrane transport, GO:0035095: behavioral response to nicotine, GO:0042166: acetylcholine binding, GO:0042391: regulation of membrane potential, GO:0045202: synapse, GO:0045211: postsynaptic membrane, GO:0048747: muscle fiber development, GO:0050877: neurological system process, GO:0055085: transmembrane transport</t>
  </si>
  <si>
    <t>71785_at</t>
  </si>
  <si>
    <t>platelet-derived growth factor, D polypeptide</t>
  </si>
  <si>
    <t>GO:0005161: platelet-derived growth factor receptor binding, GO:0005576: extracellular region, GO:0005615: extracellular space, GO:0007275: multicellular organismal development, GO:0008083: growth factor activity, GO:0009987: cellular process, GO:0016020: membrane, GO:0050730: regulation of peptidyl-tyrosine phosphorylation, GO:0051781: positive regulation of cell division, GO:0071230: cellular response to amino acid stimulus</t>
  </si>
  <si>
    <t>04060: Cytokine-cytokine receptor interaction, 04510: Focal adhesion, 04540: Gap junction, 04810: Regulation of actin cytoskeleton, 05215: Prostate cancer, 05218: Melanoma</t>
  </si>
  <si>
    <t>58188_at</t>
  </si>
  <si>
    <t>V-set and transmembrane domain containing 2B</t>
  </si>
  <si>
    <t>257871_at</t>
  </si>
  <si>
    <t>18164_at</t>
  </si>
  <si>
    <t>neuronal pentraxin 1</t>
  </si>
  <si>
    <t>GO:0000293: ferric-chelate reductase activity, GO:0006810: transport, GO:0010039: response to iron ion, GO:0016020: membrane, GO:0016021: integral to membrane, GO:0016491: oxidoreductase activity, GO:0022900: electron transport chain, GO:0031526: brush border membrane, GO:0046872: metal ion binding, GO:0055114: oxidation-reduction process</t>
  </si>
  <si>
    <t>66953_at</t>
  </si>
  <si>
    <t>cell division cycle associated 7</t>
  </si>
  <si>
    <t>GO:0003674: molecular_function, GO:0005634: nucleus, GO:0006351: transcription, DNA-dependent, GO:0006355: regulation of transcription, DNA-dependent, GO:0042127: regulation of cell proliferation, GO:0051301: cell division</t>
  </si>
  <si>
    <t>233271_at</t>
  </si>
  <si>
    <t>leucine zipper protein 2</t>
  </si>
  <si>
    <t>71733_at</t>
  </si>
  <si>
    <t>sushi domain containing 2</t>
  </si>
  <si>
    <t>GO:0003674: molecular_function, GO:0005044: scavenger receptor activity, GO:0005575: cellular_component, GO:0006898: receptor-mediated endocytosis, GO:0006955: immune response, GO:0008150: biological_process, GO:0016020: membrane, GO:0016021: integral to membrane, GO:0030247: polysaccharide binding</t>
  </si>
  <si>
    <t>116847_at</t>
  </si>
  <si>
    <t>GO:0005576: extracellular region, GO:0005578: proteinaceous extracellular matrix, GO:0007569: cell aging, GO:0008201: heparin binding</t>
  </si>
  <si>
    <t>76073_at</t>
  </si>
  <si>
    <t>polycomb group ring finger 5</t>
  </si>
  <si>
    <t>GO:0003674: molecular_function, GO:0005634: nucleus, GO:0005813: centrosome, GO:0006351: transcription, DNA-dependent, GO:0006355: regulation of transcription, DNA-dependent, GO:0008150: biological_process, GO:0008270: zinc ion binding, GO:0031519: PcG protein complex, GO:0046872: metal ion binding</t>
  </si>
  <si>
    <t>242022_at</t>
  </si>
  <si>
    <t>Fras1 related extracellular matrix protein 2</t>
  </si>
  <si>
    <t>GO:0002009: morphogenesis of an epithelium, GO:0005509: calcium ion binding, GO:0005515: protein binding, GO:0005604: basement membrane, GO:0005886: plasma membrane, GO:0007154: cell communication, GO:0007155: cell adhesion, GO:0007156: homophilic cell adhesion, GO:0007275: multicellular organismal development, GO:0016020: membrane, GO:0016021: integral to membrane, GO:0046872: metal ion binding, GO:0048839: inner ear development</t>
  </si>
  <si>
    <t>211712_at</t>
  </si>
  <si>
    <t>protocadherin 9</t>
  </si>
  <si>
    <t>GO:0005515: protein binding, GO:0005887: integral to plasma membrane, GO:0007155: cell adhesion, GO:0008150: biological_process, GO:0016020: membrane, GO:0016021: integral to membrane</t>
  </si>
  <si>
    <t>14368_at</t>
  </si>
  <si>
    <t>frizzled homolog 6 (Drosophila)</t>
  </si>
  <si>
    <t>olfactory receptor 1372, pseudogene 1</t>
  </si>
  <si>
    <t>54419_at</t>
  </si>
  <si>
    <t>claudin 6</t>
  </si>
  <si>
    <t>GO:0005198: structural molecule activity, GO:0005515: protein binding, GO:0005886: plasma membrane, GO:0005923: tight junction, GO:0016020: membrane, GO:0016021: integral to membrane, GO:0030054: cell junction</t>
  </si>
  <si>
    <t>67993_at</t>
  </si>
  <si>
    <t>nudix (nucleoside diphosphate linked moiety X)-type motif 12</t>
  </si>
  <si>
    <t>GO:0000210: NAD+ diphosphatase activity, GO:0005634: nucleus, GO:0005737: cytoplasm, GO:0005777: peroxisome, GO:0006742: NADP catabolic process, GO:0008152: metabolic process, GO:0016787: hydrolase activity, GO:0019677: NAD catabolic process, GO:0035529: NADH pyrophosphatase activity, GO:0046872: metal ion binding</t>
  </si>
  <si>
    <t>00760: Nicotinate and nicotinamide metabolism, 04146: Peroxisome</t>
  </si>
  <si>
    <t>52552_at</t>
  </si>
  <si>
    <t>poly (ADP-ribose) polymerase family, member 8</t>
  </si>
  <si>
    <t>GO:0003674: molecular_function, GO:0005622: intracellular, GO:0008150: biological_process</t>
  </si>
  <si>
    <t>73649_at</t>
  </si>
  <si>
    <t>cytochrome b reductase 1</t>
  </si>
  <si>
    <t>GO:0001525: angiogenesis, GO:0001736: establishment of planar polarity, GO:0001843: neural tube closure, GO:0001942: hair follicle development, GO:0004871: signal transducer activity, GO:0004888: transmembrane signaling receptor activity, GO:0004930: G-protein coupled receptor activity, GO:0005515: protein binding, GO:0005737: cytoplasm, GO:0005886: plasma membrane, GO:0006357: regulation of transcription from RNA polymerase II promoter, GO:0007165: signal transduction, GO:0007166: cell surface receptor signaling pathway, GO:0007186: G-protein coupled receptor signaling pathway, GO:0007199: G-protein coupled receptor signaling pathway coupled to cGMP nucleotide second messenger, GO:0007275: multicellular organismal development, GO:0007409: axonogenesis, GO:0008406: gonad development, GO:0016020: membrane, GO:0016021: integral to membrane, GO:0016055: Wnt receptor signaling pathway, GO:0016327: apicolateral plasma membrane, GO:0017147: Wnt-protein binding, GO:0030165: PDZ domain binding, GO:0030168: platelet activation, GO:0030901: midbrain development, GO:0031625: ubiquitin protein ligase binding, GO:0032589: neuron projection membrane, GO:0033278: cell proliferation in midbrain, GO:0035567: non-canonical Wnt receptor signaling pathway, GO:0042472: inner ear morphogenesis, GO:0042813: Wnt-activated receptor activity, GO:0042813: Wnt-activated receptor activity, GO:0043433: negative regulation of sequence-specific DNA binding transcription factor activity, GO:0045177: apical part of cell, GO:0060070: canonical Wnt receptor signaling pathway, GO:0060071: Wnt receptor signaling pathway, planar cell polarity pathway, GO:0090090: negative regulation of canonical Wnt receptor signaling pathway</t>
  </si>
  <si>
    <t>04310: Wnt signaling pathway, 04916: Melanogenesis, 05200: Pathways in cancer, 05217: Basal cell carcinoma</t>
  </si>
  <si>
    <t>383348_at</t>
  </si>
  <si>
    <t>potassium channel tetramerisation domain containing 16</t>
  </si>
  <si>
    <t>proline arginine-rich end leucine-rich repeat</t>
  </si>
  <si>
    <t>GO:0003674: molecular_function, GO:0005886: plasma membrane, GO:0008277: regulation of G-protein coupled receptor protein signaling pathway, GO:0016020: membrane, GO:0030054: cell junction, GO:0042734: presynaptic membrane, GO:0043235: receptor complex, GO:0045202: synapse, GO:0045211: postsynaptic membrane, GO:0051260: protein homooligomerization</t>
  </si>
  <si>
    <t>382253_at</t>
  </si>
  <si>
    <t>cyclin-dependent kinase-like 5</t>
  </si>
  <si>
    <t>GO:0000166: nucleotide binding, GO:0004672: protein kinase activity, GO:0004674: protein serine/threonine kinase activity, GO:0004693: cyclin-dependent protein kinase activity, GO:0005524: ATP binding, GO:0005634: nucleus, GO:0005737: cytoplasm, GO:0006468: protein phosphorylation, GO:0007049: cell cycle, GO:0016301: kinase activity, GO:0016310: phosphorylation, GO:0016740: transferase activity, GO:0016772: transferase activity, transferring phosphorus-containing groups, GO:0046777: protein autophosphorylation</t>
  </si>
  <si>
    <t>271564_at</t>
  </si>
  <si>
    <t>vacuolar protein sorting 13A (yeast)</t>
  </si>
  <si>
    <t>GO:0003674: molecular_function, GO:0005575: cellular_component, GO:0006810: transport, GO:0007399: nervous system development, GO:0007626: locomotory behavior, GO:0008104: protein localization, GO:0015031: protein transport, GO:0035176: social behavior</t>
  </si>
  <si>
    <t>68655_at</t>
  </si>
  <si>
    <t>fibronectin type III domain containing 1</t>
  </si>
  <si>
    <t>GO:0001934: positive regulation of protein phosphorylation, GO:0003674: molecular_function, GO:0005737: cytoplasm, GO:0005886: plasma membrane, GO:0005911: cell-cell junction, GO:0010666: positive regulation of cardiac muscle cell apoptotic process, GO:0031966: mitochondrial membrane, GO:0051223: regulation of protein transport, GO:0071456: cellular response to hypoxia</t>
  </si>
  <si>
    <t>21873_at</t>
  </si>
  <si>
    <t>tight junction protein 2</t>
  </si>
  <si>
    <t>GO:0005515: protein binding, GO:0005634: nucleus, GO:0005737: cytoplasm, GO:0005886: plasma membrane, GO:0005886: plasma membrane, GO:0005921: gap junction, GO:0005923: tight junction, GO:0008022: protein C-terminus binding, GO:0009986: cell surface, GO:0016020: membrane, GO:0030054: cell junction, GO:0030054: cell junction</t>
  </si>
  <si>
    <t>16370_at</t>
  </si>
  <si>
    <t>insulin receptor substrate 4</t>
  </si>
  <si>
    <t>GO:0004871: signal transducer activity, GO:0005158: insulin receptor binding, GO:0005515: protein binding, GO:0005543: phospholipid binding, GO:0005886: plasma membrane, GO:0007165: signal transduction, GO:0016020: membrane, GO:0019904: protein domain specific binding, GO:0043234: protein complex</t>
  </si>
  <si>
    <t>04722: Neurotrophin signaling pathway, 04910: Insulin signaling pathway, 04920: Adipocytokine signaling pathway, 04930: Type II diabetes mellitus, 04960: Aldosterone-regulated sodium reabsorption</t>
  </si>
  <si>
    <t>74513_at</t>
  </si>
  <si>
    <t>neuropilin (NRP) and tolloid (TLL)-like 2</t>
  </si>
  <si>
    <t>18163_at</t>
  </si>
  <si>
    <t>catenin (cadherin associated protein), delta 2</t>
  </si>
  <si>
    <t>GO:0001763: morphogenesis of a branching structure, GO:0005634: nucleus, GO:0006351: transcription, DNA-dependent, GO:0006355: regulation of transcription, DNA-dependent, GO:0007155: cell adhesion, GO:0007275: multicellular organismal development, GO:0007612: learning, GO:0014069: postsynaptic density, GO:0030054: cell junction, GO:0048167: regulation of synaptic plasticity</t>
  </si>
  <si>
    <t>217588_at</t>
  </si>
  <si>
    <t>MAP3K12 binding inhibitory protein 1</t>
  </si>
  <si>
    <t>GO:0005515: protein binding, GO:0005634: nucleus, GO:0005671: Ada2/Gcn5/Ada3 transcription activator complex, GO:0005671: Ada2/Gcn5/Ada3 transcription activator complex, GO:0005730: nucleolus, GO:0005737: cytoplasm, GO:0042802: identical protein binding, GO:0043966: histone H3 acetylation</t>
  </si>
  <si>
    <t>12286_at</t>
  </si>
  <si>
    <t>calcium channel, voltage-dependent, P/Q type, alpha 1A subunit</t>
  </si>
  <si>
    <t>GO:0000096: sulfur amino acid metabolic process, GO:0003677: DNA binding, GO:0005216: ion channel activity, GO:0005244: voltage-gated ion channel activity, GO:0005245: voltage-gated calcium channel activity, GO:0005245: voltage-gated calcium channel activity, GO:0005245: voltage-gated calcium channel activity, GO:0005262: calcium channel activity, GO:0005515: protein binding, GO:0005516: calmodulin binding, GO:0005623: cell, GO:0005634: nucleus, GO:0005737: cytoplasm, GO:0005886: plasma membrane, GO:0005891: voltage-gated calcium channel complex, GO:0005891: voltage-gated calcium channel complex, GO:0006006: glucose metabolic process, GO:0006810: transport, GO:0006811: ion transport, GO:0006816: calcium ion transport, GO:0006816: calcium ion transport, GO:0007204: elevation of cytosolic calcium ion concentration, GO:0007214: gamma-aminobutyric acid signaling pathway, GO:0007268: synaptic transmission, GO:0007268: synaptic transmission, GO:0007270: neuron-neuron synaptic transmission, GO:0007274: neuromuscular synaptic transmission, GO:0007416: synapse assembly, GO:0007628: adult walking behavior, GO:0007628: adult walking behavior, GO:0008219: cell death, GO:0008331: high voltage-gated calcium channel activity, GO:0008331: high voltage-gated calcium channel activity, GO:0014051: gamma-aminobutyric acid secretion, GO:0014056: regulation of acetylcholine secretion, GO:0016020: membrane, GO:0016021: integral to membrane, GO:0016049: cell growth, GO:0017156: calcium ion-dependent exocytosis, GO:0017158: regulation of calcium ion-dependent exocytosis, GO:0019226: transmission of nerve impulse, GO:0019905: syntaxin binding, GO:0021522: spinal cord motor neuron differentiation, GO:0021590: cerebellum maturation, GO:0021679: cerebellar molecular layer development, GO:0021680: cerebellar Purkinje cell layer development, GO:0021702: cerebellar Purkinje cell differentiation, GO:0021750: vestibular nucleus development, GO:0021953: central nervous system neuron differentiation, GO:0030425: dendrite, GO:0030644: cellular chloride ion homeostasis, GO:0032353: negative regulation of hormone biosynthetic process, GO:0034765: regulation of ion transmembrane transport, GO:0035249: synaptic transmission, glutamatergic, GO:0042133: neurotransmitter metabolic process, GO:0042391: regulation of membrane potential, GO:0042403: thyroid hormone metabolic process, GO:0042445: hormone metabolic process, GO:0042995: cell projection, GO:0043025: neuronal cell body, GO:0043113: receptor clustering, GO:0043204: perikaryon, GO:0043524: negative regulation of neuron apoptotic process, GO:0048265: response to pain, GO:0048266: behavioral response to pain, GO:0048791: calcium ion-dependent exocytosis of neurotransmitter, GO:0048813: dendrite morphogenesis, GO:0050770: regulation of axonogenesis, GO:0050877: neurological system process, GO:0050883: musculoskeletal movement, spinal reflex action, GO:0050885: neuromuscular process controlling balance, GO:0050905: neuromuscular process, GO:0050905: neuromuscular process, GO:0051899: membrane depolarization, GO:0051925: regulation of calcium ion transport via voltage-gated calcium channel activity, GO:0055085: transmembrane transport, GO:0060024: rhythmic synaptic transmission, GO:0070588: calcium ion transmembrane transport, GO:0070588: calcium ion transmembrane transport</t>
  </si>
  <si>
    <t>04010: MAPK signaling pathway, 04020: Calcium signaling pathway, 04730: Long-term depression, 04742: Taste transduction, 04930: Type II diabetes mellitus</t>
  </si>
  <si>
    <t>19885_at</t>
  </si>
  <si>
    <t>RAR-related orphan receptor gamma</t>
  </si>
  <si>
    <t>GO:0003677: DNA binding, GO:0003700: sequence-specific DNA binding transcription factor activity, GO:0003707: steroid hormone receptor activity, GO:0004879: ligand-activated sequence-specific DNA binding RNA polymerase II transcription factor activity, GO:0005515: protein binding, GO:0005634: nucleus, GO:0006351: transcription, DNA-dependent, GO:0006355: regulation of transcription, DNA-dependent, GO:0006357: regulation of transcription from RNA polymerase II promoter, GO:0006468: protein phosphorylation, GO:0007275: multicellular organismal development, GO:0008270: zinc ion binding, GO:0030154: cell differentiation, GO:0033077: T cell differentiation in thymus, GO:0043401: steroid hormone mediated signaling pathway, GO:0043565: sequence-specific DNA binding, GO:0046632: alpha-beta T cell differentiation, GO:0046872: metal ion binding, GO:0048535: lymph node development, GO:0048537: mucosal-associated lymphoid tissue development, GO:0072539: T-helper 17 cell differentiation</t>
  </si>
  <si>
    <t>75767_at</t>
  </si>
  <si>
    <t>RAB11 family interacting protein 1 (class I)</t>
  </si>
  <si>
    <t>GO:0003674: molecular_function, GO:0005737: cytoplasm, GO:0005768: endosome, GO:0005813: centrosome, GO:0006810: transport, GO:0008150: biological_process, GO:0015031: protein transport, GO:0016020: membrane, GO:0031410: cytoplasmic vesicle</t>
  </si>
  <si>
    <t>20732_at</t>
  </si>
  <si>
    <t>serine protease inhibitor, Kunitz type 1</t>
  </si>
  <si>
    <t>GO:0001892: embryonic placenta development, GO:0004867: serine-type endopeptidase inhibitor activity, GO:0005576: extracellular region, GO:0010466: negative regulation of peptidase activity, GO:0010951: negative regulation of endopeptidase activity, GO:0030198: extracellular matrix organization, GO:0030414: peptidase inhibitor activity, GO:0060670: branching involved in labyrinthine layer morphogenesis, GO:0060674: placenta blood vessel development</t>
  </si>
  <si>
    <t>74284_at</t>
  </si>
  <si>
    <t>RIKEN cDNA 1700086L19 gene</t>
  </si>
  <si>
    <t>12550_at</t>
  </si>
  <si>
    <t>cadherin 1</t>
  </si>
  <si>
    <t>GO:0001701: in utero embryonic development, GO:0001829: trophectodermal cell differentiation, GO:0005509: calcium ion binding, GO:0005515: protein binding, GO:0005737: cytoplasm, GO:0005768: endosome, GO:0005794: Golgi apparatus, GO:0005802: trans-Golgi network, GO:0005886: plasma membrane, GO:0005886: plasma membrane, GO:0005911: cell-cell junction, GO:0005911: cell-cell junction, GO:0005912: adherens junction, GO:0005913: cell-cell adherens junction, GO:0005913: cell-cell adherens junction, GO:0005925: focal adhesion, GO:0007155: cell adhesion, GO:0007156: homophilic cell adhesion, GO:0007416: synapse assembly, GO:0007605: sensory perception of sound, GO:0008013: beta-catenin binding, GO:0008013: beta-catenin binding, GO:0009898: internal side of plasma membrane, GO:0009986: cell surface, GO:0015629: actin cytoskeleton, GO:0016020: membrane, GO:0016021: integral to membrane, GO:0016235: aggresome, GO:0016323: basolateral plasma membrane, GO:0016328: lateral plasma membrane, GO:0016337: cell-cell adhesion, GO:0016337: cell-cell adhesion, GO:0016342: catenin complex, GO:0019538: protein metabolic process, GO:0019903: protein phosphatase binding, GO:0019904: protein domain specific binding, GO:0022408: negative regulation of cell-cell adhesion, GO:0030054: cell junction, GO:0030506: ankyrin binding, GO:0032794: GTPase activating protein binding, GO:0032880: regulation of protein localization, GO:0033268: node of Ranvier, GO:0033561: regulation of water loss via skin, GO:0042153: RPTP-like protein binding, GO:0042993: positive regulation of transcription factor import into nucleus, GO:0043219: lateral loop, GO:0043220: Schmidt-Lanterman incisure, GO:0043281: regulation of cysteine-type endopeptidase activity involved in apoptotic process, GO:0043296: apical junction complex, GO:0045177: apical part of cell, GO:0045295: gamma-catenin binding, GO:0045893: positive regulation of transcription, DNA-dependent, GO:0048471: perinuclear region of cytoplasm, GO:0051260: protein homooligomerization, GO:0060662: salivary gland cavitation, GO:0060693: regulation of branching involved in salivary gland morphogenesis, GO:0070830: tight junction assembly, GO:0071230: cellular response to amino acid stimulus, GO:0071285: cellular response to lithium ion, GO:0071681: cellular response to indole-3-methanol, GO:0072659: protein localization to plasma membrane, GO:0090102: cochlea development, GO:2000008: regulation of protein localization to cell surface</t>
  </si>
  <si>
    <t>GO:0003993: acid phosphatase activity, GO:0003993: acid phosphatase activity, GO:0005576: extracellular region, GO:0005622: intracellular, GO:0005764: lysosome, GO:0005771: multivesicular body, GO:0005886: plasma membrane, GO:0005886: plasma membrane, GO:0006144: purine nucleobase metabolic process, GO:0008152: metabolic process, GO:0008253: 5'-nucleotidase activity, GO:0009117: nucleotide metabolic process, GO:0016020: membrane, GO:0016021: integral to membrane, GO:0016311: dephosphorylation, GO:0016311: dephosphorylation, GO:0016787: hydrolase activity, GO:0030141: secretory granule, GO:0030175: filopodium, GO:0031985: Golgi cisterna, GO:0033265: choline binding, GO:0042803: protein homodimerization activity, GO:0045177: apical part of cell, GO:0046085: adenosine metabolic process</t>
  </si>
  <si>
    <t>00740: Riboflavin metabolism</t>
  </si>
  <si>
    <t>217480_at</t>
  </si>
  <si>
    <t>diacylglycerol kinase, beta</t>
  </si>
  <si>
    <t>GO:0000166: nucleotide binding, GO:0004143: diacylglycerol kinase activity, GO:0004143: diacylglycerol kinase activity, GO:0005509: calcium ion binding, GO:0005524: ATP binding, GO:0005737: cytoplasm, GO:0005886: plasma membrane, GO:0007205: protein kinase C-activating G-protein coupled receptor signaling pathway, GO:0016301: kinase activity, GO:0016310: phosphorylation, GO:0016740: transferase activity, GO:0035556: intracellular signal transduction, GO:0046872: metal ion binding</t>
  </si>
  <si>
    <t>00561: Glycerolipid metabolism, 00564: Glycerophospholipid metabolism, 01100: Metabolic pathways, 04070: Phosphatidylinositol signaling system</t>
  </si>
  <si>
    <t>66871_at</t>
  </si>
  <si>
    <t>copine VIII</t>
  </si>
  <si>
    <t>224792_at</t>
  </si>
  <si>
    <t>G protein-coupled receptor 116</t>
  </si>
  <si>
    <t>GO:0005575: cellular_component, GO:0005737: cytoplasm, GO:0008152: metabolic process, GO:0008152: metabolic process, GO:0008486: diphosphoinositol-polyphosphate diphosphatase activity, GO:0016787: hydrolase activity, GO:0046872: metal ion binding, GO:0052840: inositol diphosphate tetrakisphosphate diphosphatase activity, GO:0052841: inositol bisdiphosphate tetrakisphosphate diphosphatase activity, GO:0052842: inositol diphosphate pentakisphosphate diphosphatase activity, GO:0052843: inositol-1-diphosphate-2,3,4,5,6-pentakisphosphate diphosphatase activity, GO:0052844: inositol-3-diphosphate-1,2,4,5,6-pentakisphosphate diphosphatase activity, GO:0052845: inositol-5-diphosphate-1,2,3,4,6-pentakisphosphate diphosphatase activity, GO:0052846: inositol-1,5-bisdiphosphate-2,3,4,6-tetrakisphosphate 1-diphosphatase activity, GO:0052847: inositol-1,5-bisdiphosphate-2,3,4,6-tetrakisphosphate 5-diphosphatase activity, GO:0052848: inositol-3,5-bisdiphosphate-2,3,4,6-tetrakisphosphate 5-diphosphatase activity</t>
  </si>
  <si>
    <t>108099_at</t>
  </si>
  <si>
    <t>protein kinase, AMP-activated, gamma 2 non-catalytic subunit</t>
  </si>
  <si>
    <t>04514: Cell adhesion molecules (CAMs), 04520: Adherens junction, 05100: Bacterial invasion of epithelial cells, 05200: Pathways in cancer, 05213: Endometrial cancer, 05216: Thyroid cancer, 05218: Melanoma, 05219: Bladder cancer</t>
  </si>
  <si>
    <t>105439_at</t>
  </si>
  <si>
    <t>SLAIN motif family, member 1</t>
  </si>
  <si>
    <t>56318_at</t>
  </si>
  <si>
    <t>acid phosphatase, prostate</t>
  </si>
  <si>
    <t>GO:0000166: nucleotide binding, GO:0003824: catalytic activity, GO:0004679: AMP-activated protein kinase activity, GO:0004679: AMP-activated protein kinase activity, GO:0004862: cAMP-dependent protein kinase inhibitor activity, GO:0005524: ATP binding, GO:0005977: glycogen metabolic process, GO:0006110: regulation of glycolysis, GO:0006469: negative regulation of protein kinase activity, GO:0006633: fatty acid biosynthetic process, GO:0006950: response to stress, GO:0007243: intracellular protein kinase cascade, GO:0008603: cAMP-dependent protein kinase regulator activity, GO:0008607: phosphorylase kinase regulator activity, GO:0008610: lipid biosynthetic process, GO:0010800: positive regulation of peptidyl-threonine phosphorylation, GO:0016208: AMP binding, GO:0019217: regulation of fatty acid metabolic process, GO:0019901: protein kinase binding, GO:0030295: protein kinase activator activity, GO:0031588: AMP-activated protein kinase complex, GO:0043531: ADP binding, GO:0045860: positive regulation of protein kinase activity, GO:0050790: regulation of catalytic activity, GO:0071901: negative regulation of protein serine/threonine kinase activity</t>
  </si>
  <si>
    <t>04910: Insulin signaling pathway, 04920: Adipocytokine signaling pathway, 05410: Hypertrophic cardiomyopathy (HCM)</t>
  </si>
  <si>
    <t>79221_at</t>
  </si>
  <si>
    <t>histone deacetylase 9</t>
  </si>
  <si>
    <t>GO:0003674: molecular_function, GO:0005575: cellular_component, GO:0005886: plasma membrane, GO:0008150: biological_process, GO:0016020: membrane, GO:0016021: integral to membrane</t>
  </si>
  <si>
    <t>71207_at</t>
  </si>
  <si>
    <t>nudix (nucleoside diphosphate linked moiety X)-type motif 4</t>
  </si>
  <si>
    <t>GO:0000118: histone deacetylase complex, GO:0000122: negative regulation of transcription from RNA polymerase II promoter, GO:0000122: negative regulation of transcription from RNA polymerase II promoter, GO:0000122: negative regulation of transcription from RNA polymerase II promoter, GO:0003714: transcription corepressor activity, GO:0004407: histone deacetylase activity, GO:0004407: histone deacetylase activity, GO:0005080: protein kinase C binding, GO:0005515: protein binding, GO:0005634: nucleus, GO:0005634: nucleus, GO:0005667: transcription factor complex, GO:0005737: cytoplasm, GO:0005737: cytoplasm, GO:0006351: transcription, DNA-dependent, GO:0006355: regulation of transcription, DNA-dependent, GO:0006954: inflammatory response, GO:0007399: nervous system development, GO:0007507: heart development, GO:0008134: transcription factor binding, GO:0008134: transcription factor binding, GO:0016568: chromatin modification, GO:0016575: histone deacetylation, GO:0016575: histone deacetylation, GO:0016575: histone deacetylation, GO:0016787: hydrolase activity, GO:0030183: B cell differentiation, GO:0031078: histone deacetylase activity (H3-K14 specific), GO:0032041: NAD-dependent histone deacetylase activity (H3-K14 specific), GO:0032129: histone deacetylase activity (H3-K9 specific), GO:0032869: cellular response to insulin stimulus, GO:0033558: protein deacetylase activity, GO:0034739: histone deacetylase activity (H4-K16 specific), GO:0034983: peptidyl-lysine deacetylation, GO:0035097: histone methyltransferase complex, GO:0042113: B cell activation, GO:0042826: histone deacetylase binding, GO:0045843: negative regulation of striated muscle tissue development, GO:0045892: negative regulation of transcription, DNA-dependent, GO:0045892: negative regulation of transcription, DNA-dependent, GO:0045892: negative regulation of transcription, DNA-dependent, GO:0046969: NAD-dependent histone deacetylase activity (H3-K9 specific), GO:0046970: NAD-dependent histone deacetylase activity (H4-K16 specific), GO:0048742: regulation of skeletal muscle fiber development, GO:0051153: regulation of striated muscle cell differentiation, GO:0070491: repressing transcription factor binding, GO:0070491: repressing transcription factor binding, GO:0070932: histone H3 deacetylation, GO:0070933: histone H4 deacetylation, GO:0090050: positive regulation of cell migration involved in sprouting angiogenesis</t>
  </si>
  <si>
    <t>GO:0000166: nucleotide binding, GO:0001932: regulation of protein phosphorylation, GO:0005737: cytoplasm, GO:0005743: mitochondrial inner membrane, GO:0005813: centrosome, GO:0005886: plasma membrane, GO:0005952: cAMP-dependent protein kinase complex, GO:0006468: protein phosphorylation, GO:0006631: fatty acid metabolic process, GO:0007165: signal transduction, GO:0007612: learning, GO:0008283: cell proliferation, GO:0008603: cAMP-dependent protein kinase regulator activity, GO:0008603: cAMP-dependent protein kinase regulator activity, GO:0009887: organ morphogenesis, GO:0016020: membrane, GO:0019904: protein domain specific binding, GO:0030552: cAMP binding, GO:0031625: ubiquitin protein ligase binding, GO:0045121: membrane raft, GO:0045859: regulation of protein kinase activity, GO:0045859: regulation of protein kinase activity, GO:0048471: perinuclear region of cytoplasm</t>
  </si>
  <si>
    <t>GO:0003677: DNA binding, GO:0003700: sequence-specific DNA binding transcription factor activity, GO:0005634: nucleus, GO:0005737: cytoplasm, GO:0005794: Golgi apparatus, GO:0006351: transcription, DNA-dependent, GO:0006355: regulation of transcription, DNA-dependent, GO:0007275: multicellular organismal development</t>
  </si>
  <si>
    <t>232035_at</t>
  </si>
  <si>
    <t>family with sequence similarity 190, member A</t>
  </si>
  <si>
    <t>26408_at</t>
  </si>
  <si>
    <t>63993_at</t>
  </si>
  <si>
    <t>solute carrier family 5 (choline transporter), member 7</t>
  </si>
  <si>
    <t>GO:0005215: transporter activity, GO:0005307: choline:sodium symporter activity, GO:0005515: protein binding, GO:0005886: plasma membrane, GO:0005886: plasma membrane, GO:0006810: transport, GO:0006811: ion transport, GO:0006814: sodium ion transport, GO:0007271: synaptic transmission, cholinergic, GO:0007274: neuromuscular synaptic transmission, GO:0008292: acetylcholine biosynthetic process, GO:0008292: acetylcholine biosynthetic process, GO:0015220: choline transmembrane transporter activity, GO:0015220: choline transmembrane transporter activity, GO:0015220: choline transmembrane transporter activity, GO:0015293: symporter activity, GO:0015871: choline transport, GO:0015871: choline transport, GO:0015871: choline transport, GO:0016020: membrane, GO:0016021: integral to membrane, GO:0016021: integral to membrane, GO:0033265: choline binding, GO:0042136: neurotransmitter biosynthetic process, GO:0043025: neuronal cell body, GO:0055085: transmembrane transport</t>
  </si>
  <si>
    <t>19088_at</t>
  </si>
  <si>
    <t>protein kinase, cAMP dependent regulatory, type II beta</t>
  </si>
  <si>
    <t>04010: MAPK signaling pathway, 04141: Protein processing in endoplasmic reticulum, 04722: Neurotrophin signaling pathway, 05014: Amyotrophic lateral sclerosis (ALS)</t>
  </si>
  <si>
    <t>58998_at</t>
  </si>
  <si>
    <t>poliovirus receptor-related 3</t>
  </si>
  <si>
    <t>04210: Apoptosis, 04910: Insulin signaling pathway</t>
  </si>
  <si>
    <t>22350_at</t>
  </si>
  <si>
    <t>ezrin</t>
  </si>
  <si>
    <t>GO:0001726: ruffle, GO:0001931: uropod, GO:0005515: protein binding, GO:0005622: intracellular, GO:0005730: nucleolus, GO:0005737: cytoplasm, GO:0005829: cytosol, GO:0005856: cytoskeleton, GO:0005884: actin filament, GO:0005886: plasma membrane, GO:0005902: microvillus, GO:0005902: microvillus, GO:0005932: microtubule basal body, GO:0008092: cytoskeletal protein binding, GO:0008360: regulation of cell shape, GO:0015629: actin cytoskeleton, GO:0016020: membrane, GO:0016323: basolateral plasma membrane, GO:0016324: apical plasma membrane, GO:0016324: apical plasma membrane, GO:0019898: extrinsic to membrane, GO:0030175: filopodium, GO:0031528: microvillus membrane, GO:0035088: establishment or maintenance of apical/basal cell polarity, GO:0042995: cell projection, GO:0045177: apical part of cell, GO:0045177: apical part of cell, GO:0050839: cell adhesion molecule binding, GO:0051015: actin filament binding, GO:0051017: actin filament bundle assembly</t>
  </si>
  <si>
    <t>04670: Leukocyte transendothelial migration, 04810: Regulation of actin cytoskeleton, 04971: Gastric acid secretion</t>
  </si>
  <si>
    <t>235604_at</t>
  </si>
  <si>
    <t>CaM kinase-like vesicle-associated</t>
  </si>
  <si>
    <t>GO:0004672: protein kinase activity, GO:0005516: calmodulin binding, GO:0005524: ATP binding, GO:0005575: cellular_component, GO:0005886: plasma membrane, GO:0006468: protein phosphorylation, GO:0016020: membrane, GO:0016772: transferase activity, transferring phosphorus-containing groups, GO:0031410: cytoplasmic vesicle</t>
  </si>
  <si>
    <t>195733_at</t>
  </si>
  <si>
    <t>grainyhead-like 1 (Drosophila)</t>
  </si>
  <si>
    <t>214048_at</t>
  </si>
  <si>
    <t>La ribonucleoprotein domain family, member 1B</t>
  </si>
  <si>
    <t>GO:0003674: molecular_function, GO:0003676: nucleic acid binding, GO:0005575: cellular_component, GO:0008150: biological_process, GO:0030529: ribonucleoprotein complex</t>
  </si>
  <si>
    <t>216881_at</t>
  </si>
  <si>
    <t>mitogen-activated protein kinase kinase kinase 5</t>
  </si>
  <si>
    <t>GO:0000165: MAPK cascade, GO:0000166: nucleotide binding, GO:0000186: activation of MAPKK activity, GO:0000186: activation of MAPKK activity, GO:0000187: activation of MAPK activity, GO:0000287: magnesium ion binding, GO:0004672: protein kinase activity, GO:0004674: protein serine/threonine kinase activity, GO:0004709: MAP kinase kinase kinase activity, GO:0004709: MAP kinase kinase kinase activity, GO:0005515: protein binding, GO:0005524: ATP binding, GO:0005622: intracellular, GO:0005737: cytoplasm, GO:0005783: endoplasmic reticulum, GO:0006468: protein phosphorylation, GO:0006915: apoptotic process, GO:0006919: activation of cysteine-type endopeptidase activity involved in apoptotic process, GO:0006950: response to stress, GO:0007254: JNK cascade, GO:0008631: induction of apoptosis by oxidative stress, GO:0008656: cysteine-type endopeptidase activator activity involved in apoptotic process, GO:0010421: hydrogen peroxide-mediated programmed cell death, GO:0016301: kinase activity, GO:0016310: phosphorylation, GO:0016740: transferase activity, GO:0016772: transferase activity, transferring phosphorus-containing groups, GO:0019901: protein kinase binding, GO:0019903: protein phosphatase binding, GO:0042803: protein homodimerization activity, GO:0043065: positive regulation of apoptotic process, GO:0043065: positive regulation of apoptotic process, GO:0043280: positive regulation of cysteine-type endopeptidase activity involved in apoptotic process, GO:0045087: innate immune response, GO:0046872: metal ion binding, GO:0070301: cellular response to hydrogen peroxide</t>
  </si>
  <si>
    <t>GO:0003674: molecular_function, GO:0005575: cellular_component, GO:0008146: sulfotransferase activity, GO:0008150: biological_process, GO:0008152: metabolic process, GO:0016020: membrane, GO:0016021: integral to membrane</t>
  </si>
  <si>
    <t>58198_at</t>
  </si>
  <si>
    <t>sal-like 1 (Drosophila)</t>
  </si>
  <si>
    <t>GO:0002089: lens morphogenesis in camera-type eye, GO:0005515: protein binding, GO:0005886: plasma membrane, GO:0005911: cell-cell junction, GO:0005913: cell-cell adherens junction, GO:0007155: cell adhesion, GO:0007156: homophilic cell adhesion, GO:0009566: fertilization, GO:0016020: membrane, GO:0016021: integral to membrane, GO:0016337: cell-cell adhesion, GO:0042803: protein homodimerization activity, GO:0043296: apical junction complex, GO:0050839: cell adhesion molecule binding, GO:0060042: retina morphogenesis in camera-type eye</t>
  </si>
  <si>
    <t>04514: Cell adhesion molecules (CAMs), 04520: Adherens junction</t>
  </si>
  <si>
    <t>320027_at</t>
  </si>
  <si>
    <t>follistatin-like 4</t>
  </si>
  <si>
    <t>GO:0005509: calcium ion binding, GO:0005576: extracellular region</t>
  </si>
  <si>
    <t>140580_at</t>
  </si>
  <si>
    <t>engulfment and cell motility 1</t>
  </si>
  <si>
    <t>GO:0005515: protein binding, GO:0005543: phospholipid binding, GO:0005737: cytoplasm, GO:0005737: cytoplasm, GO:0005856: cytoskeleton, GO:0005886: plasma membrane, GO:0005886: plasma membrane, GO:0006909: phagocytosis, GO:0006911: phagocytosis, engulfment, GO:0006911: phagocytosis, engulfment, GO:0006915: apoptotic process, GO:0006928: cellular component movement, GO:0006928: cellular component movement, GO:0016020: membrane, GO:0016601: Rac protein signal transduction, GO:0016601: Rac protein signal transduction, GO:0017124: SH3 domain binding, GO:0030029: actin filament-based process, GO:0030036: actin cytoskeleton organization, GO:0030036: actin cytoskeleton organization</t>
  </si>
  <si>
    <t>04062: Chemokine signaling pathway, 05100: Bacterial invasion of epithelial cells</t>
  </si>
  <si>
    <t>114606_at</t>
  </si>
  <si>
    <t>transducin-like enhancer of split 6, homolog of Drosophila E(spl)</t>
  </si>
  <si>
    <t>GO:0005515: protein binding, GO:0005737: cytoplasm, GO:0005938: cell cortex, GO:0043234: protein complex</t>
  </si>
  <si>
    <t>GO:0000122: negative regulation of transcription from RNA polymerase II promoter, GO:0000122: negative regulation of transcription from RNA polymerase II promoter, GO:0000122: negative regulation of transcription from RNA polymerase II promoter, GO:0000792: heterochromatin, GO:0000792: heterochromatin, GO:0001657: ureteric bud development, GO:0001822: kidney development, GO:0001843: neural tube closure, GO:0003281: ventricular septum development, GO:0003677: DNA binding, GO:0003682: chromatin binding, GO:0005515: protein binding, GO:0005634: nucleus, GO:0005634: nucleus, GO:0005737: cytoplasm, GO:0007507: heart development, GO:0008013: beta-catenin binding, GO:0010369: chromocenter, GO:0016581: NuRD complex, GO:0021553: olfactory nerve development, GO:0021772: olfactory bulb development, GO:0021915: neural tube development, GO:0030177: positive regulation of Wnt receptor signaling pathway, GO:0031129: inductive cell-cell signaling, GO:0035136: forelimb morphogenesis, GO:0035137: hindlimb morphogenesis, GO:0042473: outer ear morphogenesis, GO:0042733: embryonic digit morphogenesis, GO:0045666: positive regulation of neuron differentiation, GO:0045879: negative regulation of smoothened signaling pathway, GO:0045892: negative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GO:0048566: embryonic digestive tract development, GO:0060173: limb development, GO:0061034: olfactory bulb mitral cell layer development, GO:0072092: ureteric bud invasion, GO:2000177: regulation of neural precursor cell proliferation</t>
  </si>
  <si>
    <t>53883_at</t>
  </si>
  <si>
    <t>cadherin, EGF LAG seven-pass G-type receptor 2 (flamingo homolog, Drosophila)</t>
  </si>
  <si>
    <t>WSC domain containing 1</t>
  </si>
  <si>
    <t>GO:0001764: neuron migration, GO:0004871: signal transducer activity, GO:0004930: G-protein coupled receptor activity, GO:0005886: plasma membrane, GO:0007165: signal transduction, GO:0007186: G-protein coupled receptor signaling pathway, GO:0016020: membrane, GO:0016021: integral to membrane, GO:0022407: regulation of cell-cell adhesion, GO:0048813: dendrite morphogenesis</t>
  </si>
  <si>
    <t>67647_at</t>
  </si>
  <si>
    <t>RIKEN cDNA 4930523C07 gene</t>
  </si>
  <si>
    <t>76157_at</t>
  </si>
  <si>
    <t>solute carrier family 35, member D3</t>
  </si>
  <si>
    <t>GO:0006810: transport, GO:0008643: carbohydrate transport, GO:0016020: membrane, GO:0016021: integral to membrane</t>
  </si>
  <si>
    <t>245880_at</t>
  </si>
  <si>
    <t>WAS protein family, member 3</t>
  </si>
  <si>
    <t>GO:0003674: molecular_function, GO:0003779: actin binding, GO:0005575: cellular_component, GO:0005737: cytoplasm, GO:0005856: cytoskeleton, GO:0007010: cytoskeleton organization, GO:0008360: regulation of cell shape</t>
  </si>
  <si>
    <t>04520: Adherens junction, 04666: Fc gamma R-mediated phagocytosis</t>
  </si>
  <si>
    <t>26556_at</t>
  </si>
  <si>
    <t>homer homolog 1 (Drosophila)</t>
  </si>
  <si>
    <t>GO:0003009: skeletal muscle contraction, GO:0005102: receptor binding, GO:0005515: protein binding, GO:0005737: cytoplasm, GO:0005886: plasma membrane, GO:0007216: G-protein coupled glutamate receptor signaling pathway, GO:0007216: G-protein coupled glutamate receptor signaling pathway, GO:0014069: postsynaptic density, GO:0014069: postsynaptic density, GO:0016020: membrane, GO:0030018: Z disc, GO:0030054: cell junction, GO:0030425: dendrite, GO:0031802: type 5 metabotropic glutamate receptor binding, GO:0032236: positive regulation of calcium ion transport via store-operated calcium channel activity, GO:0032947: protein complex scaffold, GO:0035256: G-protein coupled glutamate receptor binding, GO:0035418: protein localization to synapse, GO:0042802: identical protein binding, GO:0043025: neuronal cell body, GO:0043034: costamere, GO:0043198: dendritic shaft, GO:0044325: ion channel binding, GO:0045202: synapse, GO:0045211: postsynaptic membrane, GO:0046982: protein heterodimerization activity, GO:0048741: skeletal muscle fiber development, GO:0051592: response to calcium ion, GO:0060076: excitatory synapse, GO:0090279: regulation of calcium ion import, GO:0097110: scaffold protein binding, GO:2001256: regulation of store-operated calcium entry, GO:2001257: regulation of cation channel activity</t>
  </si>
  <si>
    <t>72386_at</t>
  </si>
  <si>
    <t>RIKEN cDNA 2610035D17 gene</t>
  </si>
  <si>
    <t>17245_at</t>
  </si>
  <si>
    <t>transformed mouse 3T3 cell double minute 1</t>
  </si>
  <si>
    <t>GO:0005634: nucleus, GO:0060041: retina development in camera-type eye</t>
  </si>
  <si>
    <t>218121_at</t>
  </si>
  <si>
    <t>membrane bound O-acyltransferase domain containing 1</t>
  </si>
  <si>
    <t>GO:0003674: molecular_function, GO:0005575: cellular_component, GO:0005783: endoplasmic reticulum, GO:0008150: biological_process, GO:0008654: phospholipid biosynthetic process, GO:0016020: membrane, GO:0016021: integral to membrane, GO:0016740: transferase activity, GO:0016746: transferase activity, transferring acyl groups</t>
  </si>
  <si>
    <t>00561: Glycerolipid metabolism, 00564: Glycerophospholipid metabolism, 01100: Metabolic pathways</t>
  </si>
  <si>
    <t>668212_at</t>
  </si>
  <si>
    <t>EFR3 homolog B (S. cerevisiae)</t>
  </si>
  <si>
    <t>330908_at</t>
  </si>
  <si>
    <t>opioid binding protein/cell adhesion molecule-like</t>
  </si>
  <si>
    <t>77300_at</t>
  </si>
  <si>
    <t>Ras association (RalGDS/AF-6) and pleckstrin homology domains 1</t>
  </si>
  <si>
    <t>GO:0005515: protein binding, GO:0031252: cell leading edge, GO:0048675: axon extension</t>
  </si>
  <si>
    <t>226250_at</t>
  </si>
  <si>
    <t>actin filament associated protein 1-like 2</t>
  </si>
  <si>
    <t>GO:0005543: phospholipid binding, GO:0005634: nucleus, GO:0005737: cytoplasm, GO:0005886: plasma membrane, GO:0006954: inflammatory response, GO:0007346: regulation of mitotic cell cycle, GO:0016235: aggresome, GO:0017124: SH3 domain binding, GO:0030296: protein tyrosine kinase activator activity, GO:0032675: regulation of interleukin-6 production, GO:0032757: positive regulation of interleukin-8 production, GO:0042169: SH2 domain binding, GO:0045742: positive regulation of epidermal growth factor receptor signaling pathway, GO:0045893: positive regulation of transcription, DNA-dependent, GO:0061098: positive regulation of protein tyrosine kinase activity</t>
  </si>
  <si>
    <t>26448_at</t>
  </si>
  <si>
    <t>serine/threonine kinase 30</t>
  </si>
  <si>
    <t>GO:0000166: nucleotide binding, GO:0004672: protein kinase activity, GO:0004674: protein serine/threonine kinase activity, GO:0004693: cyclin-dependent protein kinase activity, GO:0005524: ATP binding, GO:0005737: cytoplasm, GO:0006468: protein phosphorylation, GO:0007049: cell cycle, GO:0016301: kinase activity, GO:0016310: phosphorylation, GO:0016740: transferase activity, GO:0016772: transferase activity, transferring phosphorus-containing groups</t>
  </si>
  <si>
    <t>20357_at</t>
  </si>
  <si>
    <t>sema domain, seven thrombospondin repeats (type 1 and type 1-like), transmembrane domain (TM) and short cytoplasmic domain, (semaphorin) 5B</t>
  </si>
  <si>
    <t>GO:0004872: receptor activity, GO:0007275: multicellular organismal development, GO:0007399: nervous system development, GO:0016020: membrane, GO:0016021: integral to membrane, GO:0030154: cell differentiation</t>
  </si>
  <si>
    <t>16668_at</t>
  </si>
  <si>
    <t>keratin 18</t>
  </si>
  <si>
    <t>23892_at</t>
  </si>
  <si>
    <t>GO:0005198: structural molecule activity, GO:0005515: protein binding, GO:0005634: nucleus, GO:0005737: cytoplasm, GO:0005815: microtubule organizing center, GO:0005882: intermediate filament, GO:0006915: apoptotic process, GO:0033209: tumor necrosis factor-mediated signaling pathway, GO:0034451: centriolar satellite, GO:0043000: Golgi to plasma membrane CFTR protein transport, GO:0043066: negative regulation of apoptotic process, GO:0045095: keratin filament, GO:0045095: keratin filament</t>
  </si>
  <si>
    <t>17965_at</t>
  </si>
  <si>
    <t>neuroblastoma, suppression of tumorigenicity 1</t>
  </si>
  <si>
    <t>GO:0005515: protein binding, GO:0005576: extracellular region, GO:0007399: nervous system development, GO:0016015: morphogen activity, GO:0035582: sequestering of BMP in extracellular matrix, GO:0036122: BMP binding, GO:0045666: positive regulation of neuron differentiation, GO:0048263: determination of dorsal identity, GO:0048812: neuron projection morphogenesis, GO:0090027: negative regulation of monocyte chemotaxis</t>
  </si>
  <si>
    <t>54326_at</t>
  </si>
  <si>
    <t>elongation of very long chain fatty acids (FEN1/Elo2, SUR4/Elo3, yeast)-like 2</t>
  </si>
  <si>
    <t>GO:0000038: very long-chain fatty acid metabolic process, GO:0005783: endoplasmic reticulum, GO:0006633: fatty acid biosynthetic process, GO:0008610: lipid biosynthetic process, GO:0009922: fatty acid elongase activity, GO:0009922: fatty acid elongase activity, GO:0016020: membrane, GO:0016021: integral to membrane, GO:0016740: transferase activity, GO:0016747: transferase activity, transferring acyl groups other than amino-acyl groups, GO:0034626: fatty acid elongation, polyunsaturated fatty acid, GO:0034626: fatty acid elongation, polyunsaturated fatty acid, GO:0034626: fatty acid elongation, polyunsaturated fatty acid, GO:0042761: very long-chain fatty acid biosynthetic process, GO:0042761: very long-chain fatty acid biosynthetic process, GO:0042761: very long-chain fatty acid biosynthetic process</t>
  </si>
  <si>
    <t>01040: Biosynthesis of unsaturated fatty acids</t>
  </si>
  <si>
    <t>225207_at</t>
  </si>
  <si>
    <t>zinc finger protein 521</t>
  </si>
  <si>
    <t>gremlin 1</t>
  </si>
  <si>
    <t>GO:0003676: nucleic acid binding, GO:0003677: DNA binding, GO:0005622: intracellular, GO:0005634: nucleus, GO:0006351: transcription, DNA-dependent, GO:0006355: regulation of transcription, DNA-dependent, GO:0007275: multicellular organismal development, GO:0008270: zinc ion binding, GO:0019904: protein domain specific binding, GO:0030154: cell differentiation, GO:0046872: metal ion binding</t>
  </si>
  <si>
    <t>240058_at</t>
  </si>
  <si>
    <t>copine V</t>
  </si>
  <si>
    <t>GO:0003674: molecular_function, GO:0008150: biological_process, GO:0043005: neuron projection, GO:0043025: neuronal cell body</t>
  </si>
  <si>
    <t>16373_at</t>
  </si>
  <si>
    <t>Iroquois related homeobox 3 (Drosophila)</t>
  </si>
  <si>
    <t>GO:0001822: kidney development, GO:0003677: DNA binding, GO:0003700: sequence-specific DNA binding transcription factor activity, GO:0005634: nucleus, GO:0005737: cytoplasm, GO:0006351: transcription, DNA-dependent, GO:0006355: regulation of transcription, DNA-dependent, GO:0007275: multicellular organismal development, GO:0007498: mesoderm development, GO:0030424: axon, GO:0043565: sequence-specific DNA binding, GO:0045665: negative regulation of neuron differentiation, GO:0045666: positive regulation of neuron differentiation</t>
  </si>
  <si>
    <t>19734_at</t>
  </si>
  <si>
    <t>regulator of G-protein signaling 16</t>
  </si>
  <si>
    <t>GO:0005096: GTPase activator activity, GO:0005096: GTPase activator activity, GO:0005737: cytoplasm, GO:0005737: cytoplasm, GO:0005886: plasma membrane, GO:0007186: G-protein coupled receptor signaling pathway, GO:0009968: negative regulation of signal transduction, GO:0038032: termination of G-protein coupled receptor signaling pathway, GO:0043547: positive regulation of GTPase activity, GO:0043547: positive regulation of GTPase activity, GO:0045121: membrane raft</t>
  </si>
  <si>
    <t>12903_at</t>
  </si>
  <si>
    <t>cellular retinoic acid binding protein I</t>
  </si>
  <si>
    <t>GO:0001972: retinoic acid binding, GO:0005215: transporter activity, GO:0005501: retinoid binding, GO:0005737: cytoplasm, GO:0005829: cytosol, GO:0006810: transport, GO:0008289: lipid binding, GO:0016918: retinal binding, GO:0019841: retinol binding</t>
  </si>
  <si>
    <t>GO:0000902: cell morphogenesis, GO:0001525: angiogenesis, GO:0001658: branching involved in ureteric bud morphogenesis, GO:0002042: cell migration involved in sprouting angiogenesis, GO:0002092: positive regulation of receptor internalization, GO:0002689: negative regulation of leukocyte chemotaxis, GO:0003257: positive regulation of transcription from RNA polymerase II promoter involved in myocardial precursor cell differentiation, GO:0003337: mesenchymal to epithelial transition involved in metanephros morphogenesis, GO:0005125: cytokine activity, GO:0005576: extracellular region, GO:0005615: extracellular space, GO:0005615: extracellular space, GO:0007267: cell-cell signaling, GO:0008284: positive regulation of cell proliferation, GO:0009887: organ morphogenesis, GO:0009954: proximal/distal pattern formation, GO:0009986: cell surface, GO:0009986: cell surface, GO:0010717: regulation of epithelial to mesenchymal transition, GO:0030199: collagen fibril organization, GO:0030296: protein tyrosine kinase activator activity, GO:0030308: negative regulation of cell growth, GO:0030326: embryonic limb morphogenesis, GO:0030502: negative regulation of bone mineralization, GO:0030514: negative regulation of BMP signaling pathway, GO:0030514: negative regulation of BMP signaling pathway, GO:0033689: negative regulation of osteoblast proliferation, GO:0042346: positive regulation of NF-kappaB import into nucleus, GO:0043184: vascular endothelial growth factor receptor 2 binding, GO:0043395: heparan sulfate proteoglycan binding, GO:0043542: endothelial cell migration, GO:0045766: positive regulation of angiogenesis, GO:0045766: positive regulation of angiogenesis, GO:0045892: negative regulation of transcription, DNA-dependent, GO:0045893: positive regulation of transcription, DNA-dependent, GO:0045944: positive regulation of transcription from RNA polymerase II promoter, GO:0046851: negative regulation of bone remodeling, GO:0048018: receptor agonist activity, GO:0048263: determination of dorsal identity, GO:0051092: positive regulation of NF-kappaB transcription factor activity, GO:0051893: regulation of focal adhesion assembly, GO:0051973: positive regulation of telomerase activity, GO:0060394: negative regulation of pathway-restricted SMAD protein phosphorylation, GO:0060676: ureteric bud formation, GO:0061098: positive regulation of protein tyrosine kinase activity, GO:0090027: negative regulation of monocyte chemotaxis, GO:0090090: negative regulation of canonical Wnt receptor signaling pathway, GO:0090190: positive regulation of branching involved in ureteric bud morphogenesis, GO:0090191: negative regulation of branching involved in ureteric bud morphogenesis, GO:0090291: negative regulation of osteoclast proliferation, GO:1900086: positive regulation of peptidyl-tyrosine autophosphorylation, GO:1900155: negative regulation of bone trabecula formation, GO:1900158: negative regulation of bone mineralization involved in bone maturation, GO:2000273: positive regulation of receptor activity, GO:2000727: positive regulation of cardiac muscle cell differentiation</t>
  </si>
  <si>
    <t>GO:0005178: integrin binding, GO:0005604: basement membrane, GO:0005886: plasma membrane, GO:0005886: plasma membrane, GO:0005913: cell-cell adherens junction, GO:0007155: cell adhesion, GO:0007160: cell-matrix adhesion, GO:0007229: integrin-mediated signaling pathway, GO:0008305: integrin complex, GO:0009897: external side of plasma membrane, GO:0009925: basal plasma membrane, GO:0009986: cell surface, GO:0010811: positive regulation of cell-substrate adhesion, GO:0016020: membrane, GO:0016021: integral to membrane, GO:0016323: basolateral plasma membrane, GO:0016337: cell-cell adhesion, GO:0022409: positive regulation of cell-cell adhesion, GO:0030056: hemidesmosome, GO:0030175: filopodium, GO:0031668: cellular response to extracellular stimulus, GO:0032403: protein complex binding, GO:0033627: cell adhesion mediated by integrin, GO:0034676: alpha6-beta4 integrin complex, GO:0042327: positive regulation of phosphorylation, GO:0042475: odontogenesis of dentin-containing tooth, GO:0043065: positive regulation of apoptotic process, GO:0043066: negative regulation of apoptotic process, GO:0043236: laminin binding, GO:0045178: basal part of cell, GO:0045944: positive regulation of transcription from RNA polymerase II promoter, GO:0046847: filopodium assembly, GO:0050873: brown fat cell differentiation, GO:0050900: leukocyte migration, GO:0050900: leukocyte migration</t>
  </si>
  <si>
    <t>GO:0003714: transcription corepressor activity, GO:0005634: nucleus, GO:0006351: transcription, DNA-dependent, GO:0006355: regulation of transcription, DNA-dependent, GO:0016055: Wnt receptor signaling pathway, GO:0045892: negative regulation of transcription, DNA-dependent, GO:0090090: negative regulation of canonical Wnt receptor signaling pathway</t>
  </si>
  <si>
    <t>78303_at</t>
  </si>
  <si>
    <t>histone cluster 3, H2ba</t>
  </si>
  <si>
    <t>GO:0000786: nucleosome, GO:0003677: DNA binding, GO:0005575: cellular_component, GO:0005634: nucleus, GO:0005694: chromosome, GO:0006334: nucleosome assembly, GO:0008150: biological_process</t>
  </si>
  <si>
    <t>05322: Systemic lupus erythematosus</t>
  </si>
  <si>
    <t>transmembrane protein 100</t>
  </si>
  <si>
    <t>15925_at</t>
  </si>
  <si>
    <t>insulin degrading enzyme</t>
  </si>
  <si>
    <t>04260: Cardiac muscle contraction, 04960: Aldosterone-regulated sodium reabsorption, 04964: Proximal tubule bicarbonate reclamation, 04970: Salivary secretion, 04971: Gastric acid secretion, 04972: Pancreatic secretion, 04973: Carbohydrate digestion and absorption, 04974: Protein digestion and absorption, 04976: Bile secretion</t>
  </si>
  <si>
    <t>22066_at</t>
  </si>
  <si>
    <t>transient receptor potential cation channel, subfamily C, member 4</t>
  </si>
  <si>
    <t>GO:0001755: neural crest cell migration, GO:0001974: blood vessel remodeling, GO:0004872: receptor activity, GO:0005576: extracellular region, GO:0005615: extracellular space, GO:0007275: multicellular organismal development, GO:0007399: nervous system development, GO:0007411: axon guidance, GO:0007507: heart development, GO:0009791: post-embryonic development, GO:0016020: membrane, GO:0030154: cell differentiation, GO:0030215: semaphorin receptor binding, GO:0060666: dichotomous subdivision of terminal units involved in salivary gland branching</t>
  </si>
  <si>
    <t>16403_at</t>
  </si>
  <si>
    <t>integrin alpha 6</t>
  </si>
  <si>
    <t>GO:0001540: beta-amyloid binding, GO:0001948: glycoprotein binding, GO:0004222: metalloendopeptidase activity, GO:0005102: receptor binding, GO:0005524: ATP binding, GO:0005615: extracellular space, GO:0005634: nucleus, GO:0005737: cytoplasm, GO:0005739: mitochondrion, GO:0005739: mitochondrion, GO:0005777: peroxisome, GO:0005782: peroxisomal matrix, GO:0005829: cytosol, GO:0006200: ATP catabolic process, GO:0006508: proteolysis, GO:0008270: zinc ion binding, GO:0008340: determination of adult lifespan, GO:0009986: cell surface, GO:0010815: bradykinin catabolic process, GO:0010992: ubiquitin homeostasis, GO:0016887: ATPase activity, GO:0017046: peptide hormone binding, GO:0031597: cytosolic proteasome complex, GO:0031626: beta-endorphin binding, GO:0032461: positive regulation of protein oligomerization, GO:0042277: peptide binding, GO:0042447: hormone catabolic process, GO:0042803: protein homodimerization activity, GO:0043130: ubiquitin binding, GO:0043559: insulin binding, GO:0044257: cellular protein catabolic process, GO:0045861: negative regulation of proteolysis, GO:0050435: beta-amyloid metabolic process, GO:0051260: protein homooligomerization, GO:0051289: protein homotetramerization, GO:0051291: protein heterooligomerization, GO:0051603: proteolysis involved in cellular protein catabolic process</t>
  </si>
  <si>
    <t>11931_at</t>
  </si>
  <si>
    <t>ATPase, Na+/K+ transporting, beta 1 polypeptide</t>
  </si>
  <si>
    <t>04510: Focal adhesion, 04512: ECM-receptor interaction, 04514: Cell adhesion molecules (CAMs), 04640: Hematopoietic cell lineage, 04810: Regulation of actin cytoskeleton, 05145: Toxoplasmosis, 05200: Pathways in cancer, 05222: Small cell lung cancer, 05410: Hypertrophic cardiomyopathy (HCM), 05412: Arrhythmogenic right ventricular cardiomyopathy (ARVC), 05414: Dilated cardiomyopathy</t>
  </si>
  <si>
    <t>21886_at</t>
  </si>
  <si>
    <t>transducin-like enhancer of split 2, homolog of Drosophila E(spl)</t>
  </si>
  <si>
    <t>20348_at</t>
  </si>
  <si>
    <t>sema domain, immunoglobulin domain (Ig), short basic domain, secreted, (semaphorin) 3C</t>
  </si>
  <si>
    <t>67888_at</t>
  </si>
  <si>
    <t>GO:0005216: ion channel activity, GO:0005262: calcium channel activity, GO:0005515: protein binding, GO:0005737: cytoplasm, GO:0005886: plasma membrane, GO:0005886: plasma membrane, GO:0005887: integral to plasma membrane, GO:0005901: caveola, GO:0006810: transport, GO:0006811: ion transport, GO:0006816: calcium ion transport, GO:0008013: beta-catenin binding, GO:0009986: cell surface, GO:0014051: gamma-aminobutyric acid secretion, GO:0015279: store-operated calcium channel activity, GO:0015279: store-operated calcium channel activity, GO:0016020: membrane, GO:0016021: integral to membrane, GO:0016323: basolateral plasma membrane, GO:0030863: cortical cytoskeleton, GO:0034220: ion transmembrane transport, GO:0034704: calcium channel complex, GO:0043234: protein complex, GO:0045121: membrane raft, GO:0045296: cadherin binding, GO:0051924: regulation of calcium ion transport, GO:0055085: transmembrane transport, GO:0070509: calcium ion import, GO:0070588: calcium ion transmembrane transport, GO:0070679: inositol 1,4,5 trisphosphate binding</t>
  </si>
  <si>
    <t>15904_at</t>
  </si>
  <si>
    <t>inhibitor of DNA binding 4</t>
  </si>
  <si>
    <t>GO:0001666: response to hypoxia, GO:0001824: blastocyst development, GO:0005391: sodium:potassium-exchanging ATPase activity, GO:0005515: protein binding, GO:0005886: plasma membrane, GO:0005890: sodium:potassium-exchanging ATPase complex, GO:0005901: caveola, GO:0006200: ATP catabolic process, GO:0006754: ATP biosynthetic process, GO:0006810: transport, GO:0006811: ion transport, GO:0006813: potassium ion transport, GO:0006814: sodium ion transport, GO:0016020: membrane, GO:0016021: integral to membrane, GO:0016323: basolateral plasma membrane, GO:0016323: basolateral plasma membrane, GO:0016324: apical plasma membrane, GO:0030001: metal ion transport, GO:0046034: ATP metabolic process, GO:0071436: sodium ion export, GO:0071805: potassium ion transmembrane transport</t>
  </si>
  <si>
    <t>GO:0000082: G1/S transition of mitotic cell cycle, GO:0000122: negative regulation of transcription from RNA polymerase II promoter, GO:0001085: RNA polymerase II transcription factor binding, GO:0005515: protein binding, GO:0005634: nucleus, GO:0005737: cytoplasm, GO:0007405: neuroblast proliferation, GO:0007420: brain development, GO:0008283: cell proliferation, GO:0008284: positive regulation of cell proliferation, GO:0021766: hippocampus development, GO:0021895: cerebral cortex neuron differentiation, GO:0022010: central nervous system myelination, GO:0034613: cellular protein localization, GO:0045444: fat cell differentiation, GO:0045599: negative regulation of fat cell differentiation, GO:0045665: negative regulation of neuron differentiation, GO:0045669: positive regulation of osteoblast differentiation, GO:0045892: negative regulation of transcription, DNA-dependent, GO:0045944: positive regulation of transcription from RNA polymerase II promoter, GO:0046983: protein dimerization activity, GO:0048712: negative regulation of astrocyte differentiation, GO:0048715: negative regulation of oligodendrocyte differentiation</t>
  </si>
  <si>
    <t>23937_at</t>
  </si>
  <si>
    <t>mab-21-like 2 (C. elegans)</t>
  </si>
  <si>
    <t>GO:0005634: nucleus, GO:0007275: multicellular organismal development, GO:0008284: positive regulation of cell proliferation, GO:0010172: embryonic body morphogenesis, GO:0043010: camera-type eye development</t>
  </si>
  <si>
    <t>215819_at</t>
  </si>
  <si>
    <t>NHS-like 1</t>
  </si>
  <si>
    <t>109676_at</t>
  </si>
  <si>
    <t>ankyrin 2, brain</t>
  </si>
  <si>
    <t>GO:0002027: regulation of heart rate, GO:0002027: regulation of heart rate, GO:0003283: atrial septum development, GO:0005515: protein binding, GO:0005622: intracellular, GO:0005622: intracellular, GO:0005622: intracellular, GO:0005622: intracellular, GO:0005737: cytoplasm, GO:0005856: cytoskeleton, GO:0005886: plasma membrane, GO:0005886: plasma membrane, GO:0005887: integral to plasma membrane, GO:0006874: cellular calcium ion homeostasis, GO:0006915: apoptotic process, GO:0007165: signal transduction, GO:0008104: protein localization, GO:0010628: positive regulation of gene expression, GO:0010628: positive regulation of gene expression, GO:0010881: regulation of cardiac muscle contraction by regulation of the release of sequestered calcium ion, GO:0010881: regulation of cardiac muscle contraction by regulation of the release of sequestered calcium ion, GO:0010881: regulation of cardiac muscle contraction by regulation of the release of sequestered calcium ion, GO:0010882: regulation of cardiac muscle contraction by calcium ion signaling, GO:0010882: regulation of cardiac muscle contraction by calcium ion signaling, GO:0014704: intercalated disc, GO:0015459: potassium channel regulator activity, GO:0016020: membrane, GO:0016323: basolateral plasma membrane, GO:0019899: enzyme binding, GO:0019901: protein kinase binding, GO:0030018: Z disc, GO:0030315: T-tubule, GO:0030507: spectrin binding, GO:0030674: protein binding, bridging, GO:0030674: protein binding, bridging, GO:0031430: M band, GO:0031430: M band, GO:0031647: regulation of protein stability, GO:0031672: A band, GO:0033292: T-tubule organization, GO:0033365: protein localization to organelle, GO:0033365: protein localization to organelle, GO:0034394: protein localization to cell surface, GO:0034613: cellular protein localization, GO:0034613: cellular protein localization, GO:0034613: cellular protein localization, GO:0042383: sarcolemma, GO:0042383: sarcolemma, GO:0042981: regulation of apoptotic process, GO:0043034: costamere, GO:0043268: positive regulation of potassium ion transport, GO:0044325: ion channel binding, GO:0044325: ion channel binding, GO:0048471: perinuclear region of cytoplasm, GO:0050821: protein stabilization, GO:0051117: ATPase binding, GO:0051279: regulation of release of sequestered calcium ion into cytosol, GO:0051924: regulation of calcium ion transport, GO:0051924: regulation of calcium ion transport, GO:0051925: regulation of calcium ion transport via voltage-gated calcium channel activity, GO:0051928: positive regulation of calcium ion transport, GO:0055117: regulation of cardiac muscle contraction, GO:0055117: regulation of cardiac muscle contraction, GO:0060048: cardiac muscle contraction, GO:0060307: regulation of ventricular cardiomyocyte membrane repolarization, GO:0070972: protein localization to endoplasmic reticulum, GO:0070972: protein localization to endoplasmic reticulum, GO:0072659: protein localization to plasma membrane, GO:0072659: protein localization to plasma membrane, GO:0072661: protein targeting to plasma membrane, GO:0072661: protein targeting to plasma membrane, GO:0086004: regulation of cardiac muscle cell contraction, GO:0086004: regulation of cardiac muscle cell contraction, GO:0086005: regulation of ventricular cardiac muscle cell action potential, GO:0086014: regulation of atrial cardiac muscle cell action potential, GO:0086014: regulation of atrial cardiac muscle cell action potential, GO:0086015: regulation of SA node cardiac muscle cell action potential, GO:0086036: regulation of cardiac muscle cell membrane potential, GO:0086036: regulation of cardiac muscle cell membrane potential, GO:0086066: atrial cardiomyocyte to AV node cell communication, GO:0086070: SA node cardiomyocyte to atrial cardiomyocyte communication, GO:0086070: SA node cardiomyocyte to atrial cardiomyocyte communication, GO:0086091: regulation of heart rate by cardiac conduction, GO:0086091: regulation of heart rate by cardiac conduction, GO:1901018: positive regulation of potassium ion transmembrane transporter activity, GO:1901021: positive regulation of calcium ion transmembrane transporter activity, GO:2001257: regulation of cation channel activity, GO:2001259: positive regulation of cation channel activity</t>
  </si>
  <si>
    <t>GO:0004890: GABA-A receptor activity, GO:0005216: ion channel activity, GO:0005230: extracellular ligand-gated ion channel activity, GO:0005254: chloride channel activity, GO:0005886: plasma membrane, GO:0006810: transport, GO:0006811: ion transport, GO:0006821: chloride transport, GO:0007214: gamma-aminobutyric acid signaling pathway, GO:0007605: sensory perception of sound, GO:0016020: membrane, GO:0016021: integral to membrane, GO:0030054: cell junction, GO:0034220: ion transmembrane transport, GO:0034220: ion transmembrane transport, GO:0034707: chloride channel complex, GO:0035612: AP-2 adaptor complex binding, GO:0043195: terminal button, GO:0045202: synapse, GO:0045211: postsynaptic membrane, GO:0048666: neuron development, GO:0051932: synaptic transmission, GABAergic, GO:0060077: inhibitory synapse, GO:0060119: inner ear receptor cell development, GO:0060384: innervation, GO:0090102: cochlea development</t>
  </si>
  <si>
    <t>67451_at</t>
  </si>
  <si>
    <t>plakophilin 2</t>
  </si>
  <si>
    <t>GO:0005515: protein binding, GO:0005882: intermediate filament, GO:0005911: cell-cell junction, GO:0005912: adherens junction, GO:0005912: adherens junction, GO:0007507: heart development, GO:0014704: intercalated disc, GO:0014704: intercalated disc, GO:0016264: gap junction assembly, GO:0016337: cell-cell adhesion, GO:0030057: desmosome, GO:0034334: adherens junction maintenance, GO:0086001: regulation of cardiac muscle cell action potential, GO:2000810: regulation of tight junction assembly</t>
  </si>
  <si>
    <t>GO:0000166: nucleotide binding, GO:0003674: molecular_function, GO:0004672: protein kinase activity, GO:0004674: protein serine/threonine kinase activity, GO:0005524: ATP binding, GO:0005737: cytoplasm, GO:0005886: plasma membrane, GO:0006468: protein phosphorylation, GO:0006468: protein phosphorylation, GO:0008285: negative regulation of cell proliferation, GO:0016020: membrane, GO:0016301: kinase activity, GO:0016310: phosphorylation, GO:0016740: transferase activity, GO:0016772: transferase activity, transferring phosphorus-containing groups, GO:0046777: protein autophosphorylation, GO:0070373: negative regulation of ERK1 and ERK2 cascade, GO:2000021: regulation of ion homeostasis, GO:2000651: positive regulation of sodium ion transmembrane transporter activity</t>
  </si>
  <si>
    <t>18481_at</t>
  </si>
  <si>
    <t>p21 protein (Cdc42/Rac)-activated kinase 3</t>
  </si>
  <si>
    <t>218518_at</t>
  </si>
  <si>
    <t>MARVEL (membrane-associating) domain containing 2</t>
  </si>
  <si>
    <t>GO:0003674: molecular_function, GO:0005886: plasma membrane, GO:0005923: tight junction, GO:0005923: tight junction, GO:0007605: sensory perception of sound, GO:0016020: membrane, GO:0016021: integral to membrane, GO:0030054: cell junction, GO:0033010: paranodal junction, GO:0043220: Schmidt-Lanterman incisure, GO:0045216: cell-cell junction organization, GO:0045216: cell-cell junction organization</t>
  </si>
  <si>
    <t>14402_at</t>
  </si>
  <si>
    <t>gamma-aminobutyric acid (GABA) A receptor, subunit beta 3</t>
  </si>
  <si>
    <t>GO:0000165: MAPK cascade, GO:0000166: nucleotide binding, GO:0000187: activation of MAPK activity, GO:0003824: catalytic activity, GO:0004672: protein kinase activity, GO:0004674: protein serine/threonine kinase activity, GO:0004708: MAP kinase kinase activity, GO:0005524: ATP binding, GO:0005737: cytoplasm, GO:0006468: protein phosphorylation, GO:0007275: multicellular organismal development, GO:0007409: axonogenesis, GO:0008152: metabolic process, GO:0016301: kinase activity, GO:0016310: phosphorylation, GO:0016358: dendrite development, GO:0016740: transferase activity, GO:0016772: transferase activity, transferring phosphorus-containing groups, GO:0017048: Rho GTPase binding, GO:0017124: SH3 domain binding, GO:0030833: regulation of actin filament polymerization, GO:0046872: metal ion binding, GO:0051020: GTPase binding</t>
  </si>
  <si>
    <t>04012: ErbB signaling pathway, 04360: Axon guidance, 04510: Focal adhesion, 04660: T cell receptor signaling pathway, 04810: Regulation of actin cytoskeleton, 05211: Renal cell carcinoma</t>
  </si>
  <si>
    <t>226352_at</t>
  </si>
  <si>
    <t>erythrocyte protein band 4.1-like 5</t>
  </si>
  <si>
    <t>73102_at</t>
  </si>
  <si>
    <t>solute carrier family 22, member 23</t>
  </si>
  <si>
    <t>GO:0003674: molecular_function, GO:0005215: transporter activity, GO:0005575: cellular_component, GO:0006810: transport, GO:0006811: ion transport, GO:0016020: membrane, GO:0016021: integral to membrane, GO:0022857: transmembrane transporter activity, GO:0055085: transmembrane transport</t>
  </si>
  <si>
    <t>99899_at</t>
  </si>
  <si>
    <t>interferon-induced protein 44</t>
  </si>
  <si>
    <t>GO:0003674: molecular_function, GO:0005737: cytoplasm, GO:0008150: biological_process</t>
  </si>
  <si>
    <t>75607_at</t>
  </si>
  <si>
    <t>WNK lysine deficient protein kinase 2</t>
  </si>
  <si>
    <t>GO:0000904: cell morphogenesis involved in differentiation, GO:0001701: in utero embryonic development, GO:0001756: somitogenesis, GO:0001837: epithelial to mesenchymal transition, GO:0001839: neural plate morphogenesis, GO:0001954: positive regulation of cell-matrix adhesion, GO:0003382: epithelial cell morphogenesis, GO:0003383: apical constriction, GO:0005515: protein binding, GO:0005737: cytoplasm, GO:0005856: cytoskeleton, GO:0005886: plasma membrane, GO:0005925: focal adhesion, GO:0006931: substrate-dependent cell migration, cell attachment to substrate, GO:0007398: ectoderm development, GO:0007492: endoderm development, GO:0007498: mesoderm development, GO:0007509: mesoderm migration involved in gastrulation, GO:0008092: cytoskeletal protein binding, GO:0009826: unidimensional cell growth, GO:0010608: posttranscriptional regulation of gene expression, GO:0010634: positive regulation of epithelial cell migration, GO:0010718: positive regulation of epithelial to mesenchymal transition, GO:0019898: extrinsic to membrane, GO:0019904: protein domain specific binding, GO:0022408: negative regulation of cell-cell adhesion, GO:0030036: actin cytoskeleton organization, GO:0030036: actin cytoskeleton organization, GO:0030054: cell junction, GO:0031032: actomyosin structure organization, GO:0031252: cell leading edge, GO:0032091: negative regulation of protein binding, GO:0032092: positive regulation of protein binding, GO:0032525: somite rostral/caudal axis specification, GO:0032587: ruffle membrane, GO:0048318: axial mesoderm development, GO:0048319: axial mesoderm morphogenesis, GO:0048339: paraxial mesoderm development, GO:0048617: embryonic foregut morphogenesis, GO:0051894: positive regulation of focal adhesion assembly, GO:0070201: regulation of establishment of protein localization, GO:0070986: left/right axis specification, GO:0071560: cellular response to transforming growth factor beta stimulus</t>
  </si>
  <si>
    <t>13808_at</t>
  </si>
  <si>
    <t>enolase 3, beta muscle</t>
  </si>
  <si>
    <t>GO:0000015: phosphopyruvate hydratase complex, GO:0000287: magnesium ion binding, GO:0004634: phosphopyruvate hydratase activity, GO:0005737: cytoplasm, GO:0006096: glycolysis, GO:0008152: metabolic process, GO:0016829: lyase activity, GO:0042803: protein homodimerization activity, GO:0046872: metal ion binding, GO:0046982: protein heterodimerization activity</t>
  </si>
  <si>
    <t>00010: Glycolysis / Gluconeogenesis, 01100: Metabolic pathways, 03018: RNA degradation</t>
  </si>
  <si>
    <t>12053_at</t>
  </si>
  <si>
    <t>B cell leukemia/lymphoma 6</t>
  </si>
  <si>
    <t>GO:0000060: protein import into nucleus, translocation, GO:0000122: negative regulation of transcription from RNA polymerase II promoter, GO:0000122: negative regulation of transcription from RNA polymerase II promoter, GO:0000122: negative regulation of transcription from RNA polymerase II promoter, GO:0000122: negative regulation of transcription from RNA polymerase II promoter, GO:0000902: cell morphogenesis, GO:0000902: cell morphogenesis, GO:0001953: negative regulation of cell-matrix adhesion, GO:0002467: germinal center formation, GO:0002829: negative regulation of type 2 immune response, GO:0003676: nucleic acid binding, GO:0003677: DNA binding, GO:0003682: chromatin binding, GO:0003682: chromatin binding, GO:0003700: sequence-specific DNA binding transcription factor activity, GO:0005515: protein binding, GO:0005622: intracellular, GO:0005634: nucleus, GO:0005634: nucleus, GO:0006351: transcription, DNA-dependent, GO:0006355: regulation of transcription, DNA-dependent, GO:0006974: response to DNA damage stimulus, GO:0007266: Rho protein signal transduction, GO:0007283: spermatogenesis, GO:0008104: protein localization, GO:0008270: zinc ion binding, GO:0008285: negative regulation of cell proliferation, GO:0030036: actin cytoskeleton organization, GO:0030183: B cell differentiation, GO:0030308: negative regulation of cell growth, GO:0030890: positive regulation of B cell proliferation, GO:0031490: chromatin DNA binding, GO:0032319: regulation of Rho GTPase activity, GO:0032764: negative regulation of mast cell cytokine production, GO:0035024: negative regulation of Rho protein signal transduction, GO:0042092: type 2 immune response, GO:0042127: regulation of cell proliferation, GO:0043065: positive regulation of apoptotic process, GO:0043066: negative regulation of apoptotic process, GO:0043066: negative regulation of apoptotic process, GO:0043380: regulation of memory T cell differentiation, GO:0043565: sequence-specific DNA binding, GO:0043565: sequence-specific DNA binding, GO:0045596: negative regulation of cell differentiation, GO:0045629: negative regulation of T-helper 2 cell differentiation, GO:0045892: negative regulation of transcription, DNA-dependent, GO:0046872: metal ion binding, GO:0048294: negative regulation of isotype switching to IgE isotypes, GO:0048294: negative regulation of isotype switching to IgE isotypes, GO:0048821: erythrocyte development, GO:0050727: regulation of inflammatory response, GO:0051272: positive regulation of cellular component movement</t>
  </si>
  <si>
    <t>GO:0005096: GTPase activator activity, GO:0005515: protein binding, GO:0005622: intracellular, GO:0007165: signal transduction, GO:0007399: nervous system development, GO:0008045: motor axon guidance, GO:0032314: regulation of Rac GTPase activity, GO:0035556: intracellular signal transduction, GO:0043547: positive regulation of GTPase activity, GO:0046872: metal ion binding, GO:0046875: ephrin receptor binding, GO:0048013: ephrin receptor signaling pathway, GO:0050770: regulation of axonogenesis, GO:0050770: regulation of axonogenesis</t>
  </si>
  <si>
    <t>83398_at</t>
  </si>
  <si>
    <t>N-deacetylase/N-sulfotransferase (heparan glucosaminyl) 3</t>
  </si>
  <si>
    <t>GO:0003824: catalytic activity, GO:0005794: Golgi apparatus, GO:0008146: sulfotransferase activity, GO:0008152: metabolic process, GO:0015016: [heparan sulfate]-glucosamine N-sulfotransferase activity, GO:0016020: membrane, GO:0016021: integral to membrane, GO:0016740: transferase activity, GO:0016787: hydrolase activity, GO:0019213: deacetylase activity</t>
  </si>
  <si>
    <t>15569_at</t>
  </si>
  <si>
    <t>ELAV (embryonic lethal, abnormal vision, Drosophila)-like 2 (Hu antigen B)</t>
  </si>
  <si>
    <t>GO:0000166: nucleotide binding, GO:0003676: nucleic acid binding, GO:0003723: RNA binding</t>
  </si>
  <si>
    <t>71296_at</t>
  </si>
  <si>
    <t>RIKEN cDNA 4933436C20 gene</t>
  </si>
  <si>
    <t>72634_at</t>
  </si>
  <si>
    <t>tudor and KH domain containing protein</t>
  </si>
  <si>
    <t>GO:0003723: RNA binding, GO:0005515: protein binding, GO:0005737: cytoplasm, GO:0005739: mitochondrion, GO:0008150: biological_process</t>
  </si>
  <si>
    <t>14782_at</t>
  </si>
  <si>
    <t>glutathione reductase</t>
  </si>
  <si>
    <t>GO:0004362: glutathione-disulfide reductase activity, GO:0004362: glutathione-disulfide reductase activity, GO:0005737: cytoplasm, GO:0005739: mitochondrion, GO:0005739: mitochondrion, GO:0005829: cytosol, GO:0006749: glutathione metabolic process, GO:0006749: glutathione metabolic process, GO:0007283: spermatogenesis, GO:0016491: oxidoreductase activity, GO:0016668: oxidoreductase activity, acting on a sulfur group of donors, NAD or NADP as acceptor, GO:0042803: protein homodimerization activity, GO:0043295: glutathione binding, GO:0045454: cell redox homeostasis, GO:0050660: flavin adenine dinucleotide binding, GO:0050661: NADP binding, GO:0055114: oxidation-reduction process</t>
  </si>
  <si>
    <t>00480: Glutathione metabolism</t>
  </si>
  <si>
    <t>18121_at</t>
  </si>
  <si>
    <t>noggin</t>
  </si>
  <si>
    <t>209200_at</t>
  </si>
  <si>
    <t>deltex 3-like (Drosophila)</t>
  </si>
  <si>
    <t>GO:0004842: ubiquitin-protein ligase activity, GO:0005634: nucleus, GO:0005737: cytoplasm, GO:0006974: response to DNA damage stimulus, GO:0008152: metabolic process, GO:0008270: zinc ion binding, GO:0010390: histone monoubiquitination, GO:0016568: chromatin modification, GO:0016874: ligase activity, GO:0042393: histone binding, GO:0046872: metal ion binding</t>
  </si>
  <si>
    <t>18415_at</t>
  </si>
  <si>
    <t>heat shock protein 4 like</t>
  </si>
  <si>
    <t>GO:0000166: nucleotide binding, GO:0005524: ATP binding, GO:0005634: nucleus, GO:0005737: cytoplasm, GO:0006457: protein folding, GO:0006950: response to stress, GO:0006986: response to unfolded protein</t>
  </si>
  <si>
    <t>04141: Protein processing in endoplasmic reticulum</t>
  </si>
  <si>
    <t>108699_at</t>
  </si>
  <si>
    <t>chimerin (chimaerin) 1</t>
  </si>
  <si>
    <t>GO:0000122: negative regulation of transcription from RNA polymerase II promoter, GO:0001501: skeletal system development, GO:0001649: osteoblast differentiation, GO:0001655: urogenital system development, GO:0001657: ureteric bud development, GO:0001701: in utero embryonic development, GO:0001706: endoderm formation, GO:0001707: mesoderm formation, GO:0001837: epithelial to mesenchymal transition, GO:0001839: neural plate morphogenesis, GO:0001843: neural tube closure, GO:0005576: extracellular region, GO:0005615: extracellular space, GO:0005615: extracellular space, GO:0007275: multicellular organismal development, GO:0007389: pattern specification process, GO:0007411: axon guidance, GO:0007417: central nervous system development, GO:0007420: brain development, GO:0008045: motor axon guidance, GO:0009953: dorsal/ventral pattern formation, GO:0019955: cytokine binding, GO:0021510: spinal cord development, GO:0021533: cell differentiation in hindbrain, GO:0021915: neural tube development, GO:0021983: pituitary gland development, GO:0030154: cell differentiation, GO:0030336: negative regulation of cell migration, GO:0030509: BMP signaling pathway, GO:0030510: regulation of BMP signaling pathway, GO:0030514: negative regulation of BMP signaling pathway, GO:0030514: negative regulation of BMP signaling pathway, GO:0030514: negative regulation of BMP signaling pathway, GO:0030514: negative regulation of BMP signaling pathway, GO:0032403: protein complex binding, GO:0035019: somatic stem cell maintenance, GO:0042060: wound healing, GO:0042474: middle ear morphogenesis, GO:0042733: embryonic digit morphogenesis, GO:0042803: protein homodimerization activity, GO:0043066: negative regulation of apoptotic process, GO:0045596: negative regulation of cell differentiation, GO:0045664: regulation of neuron differentiation, GO:0045668: negative regulation of osteoblast differentiation, GO:0045944: positive regulation of transcription from RNA polymerase II promoter, GO:0045944: positive regulation of transcription from RNA polymerase II promoter, GO:0048318: axial mesoderm development, GO:0048570: notochord morphogenesis, GO:0048646: anatomical structure formation involved in morphogenesis, GO:0048646: anatomical structure formation involved in morphogenesis, GO:0048706: embryonic skeletal system development, GO:0048712: negative regulation of astrocyte differentiation, GO:0048712: negative regulation of astrocyte differentiation, GO:0048762: mesenchymal cell differentiation, GO:0050679: positive regulation of epithelial cell proliferation, GO:0050679: positive regulation of epithelial cell proliferation, GO:0051216: cartilage development, GO:0060044: negative regulation of cardiac muscle cell proliferation, GO:0060173: limb development, GO:0060272: embryonic skeletal joint morphogenesis, GO:0060302: negative regulation of cytokine activity, GO:0060325: face morphogenesis, GO:0060394: negative regulation of pathway-restricted SMAD protein phosphorylation, GO:0060425: lung morphogenesis, GO:0060513: prostatic bud formation, GO:0060676: ureteric bud formation, GO:0060825: fibroblast growth factor receptor signaling pathway involved in neural plate anterior/posterior pattern formation, GO:0061037: negative regulation of cartilage development, GO:0061053: somite development, GO:0071773: cellular response to BMP stimulus, GO:0090090: negative regulation of canonical Wnt receptor signaling pathway, GO:0090190: positive regulation of branching involved in ureteric bud morphogenesis, GO:0090193: positive regulation of glomerulus development, GO:2000313: regulation of fibroblast growth factor receptor signaling pathway involved in neural plate anterior/posterior pattern formation</t>
  </si>
  <si>
    <t>GO:0000122: negative regulation of transcription from RNA polymerase II promoter, GO:0002062: chondrocyte differentiation, GO:0003676: nucleic acid binding, GO:0005622: intracellular, GO:0005634: nucleus, GO:0008270: zinc ion binding, GO:0008284: positive regulation of cell proliferation, GO:0010628: positive regulation of gene expression, GO:0030154: cell differentiation, GO:0030501: positive regulation of bone mineralization, GO:0033687: osteoblast proliferation, GO:0035115: embryonic forelimb morphogenesis, GO:0035116: embryonic hindlimb morphogenesis, GO:0036023: embryonic skeletal limb joint morphogenesis, GO:0042474: middle ear morphogenesis, GO:0042476: odontogenesis, GO:0042733: embryonic digit morphogenesis, GO:0043565: sequence-specific DNA binding, GO:0045893: positive regulation of transcription, DNA-dependent, GO:0045944: positive regulation of transcription from RNA polymerase II promoter, GO:0046872: metal ion binding, GO:0048704: embryonic skeletal system morphogenesis, GO:0048793: pronephros development, GO:0050679: positive regulation of epithelial cell proliferation, GO:0060021: palate development, GO:0060272: embryonic skeletal joint morphogenesis, GO:0060322: head development, GO:0060349: bone morphogenesis, GO:0061029: eyelid development in camera-type eye, GO:0072498: embryonic skeletal joint development, GO:2000543: positive regulation of gastrulation</t>
  </si>
  <si>
    <t>14264_at</t>
  </si>
  <si>
    <t>fibromodulin</t>
  </si>
  <si>
    <t>GO:0005576: extracellular region, GO:0005578: proteinaceous extracellular matrix, GO:0005615: extracellular space, GO:0005622: intracellular, GO:0031012: extracellular matrix</t>
  </si>
  <si>
    <t>18798_at</t>
  </si>
  <si>
    <t>phospholipase C, beta 4</t>
  </si>
  <si>
    <t>00562: Inositol phosphate metabolism, 01100: Metabolic pathways, 04020: Calcium signaling pathway, 04062: Chemokine signaling pathway, 04070: Phosphatidylinositol signaling system, 04270: Vascular smooth muscle contraction, 04310: Wnt signaling pathway, 04540: Gap junction, 04720: Long-term potentiation, 04730: Long-term depression, 04912: GnRH signaling pathway, 04916: Melanogenesis, 04970: Salivary secretion, 04971: Gastric acid secretion, 04972: Pancreatic secretion, 05010: Alzheimer's disease, 05016: Huntington's disease, 05142: Chagas disease (American trypanosomiasis), 05143: African trypanosomiasis, 05146: Amoebiasis</t>
  </si>
  <si>
    <t>19252_at</t>
  </si>
  <si>
    <t>dual specificity phosphatase 1</t>
  </si>
  <si>
    <t>GO:0000188: inactivation of MAPK activity, GO:0001706: endoderm formation, GO:0004721: phosphoprotein phosphatase activity, GO:0004725: protein tyrosine phosphatase activity, GO:0005634: nucleus, GO:0005654: nucleoplasm, GO:0006470: protein dephosphorylation, GO:0006470: protein dephosphorylation, GO:0007049: cell cycle, GO:0008138: protein tyrosine/serine/threonine phosphatase activity, GO:0008330: protein tyrosine/threonine phosphatase activity, GO:0016311: dephosphorylation, GO:0016787: hydrolase activity, GO:0016791: phosphatase activity, GO:0017017: MAP kinase tyrosine/serine/threonine phosphatase activity, GO:0035335: peptidyl-tyrosine dephosphorylation, GO:0035556: intracellular signal transduction, GO:0042981: regulation of apoptotic process, GO:0043065: positive regulation of apoptotic process, GO:0045768: positive regulation of anti-apoptosis</t>
  </si>
  <si>
    <t>226422_at</t>
  </si>
  <si>
    <t>RAB7, member RAS oncogene family-like 1</t>
  </si>
  <si>
    <t>100502984_at</t>
  </si>
  <si>
    <t>predicted gene, 19487</t>
  </si>
  <si>
    <t>100862086_at</t>
  </si>
  <si>
    <t>uncharacterized LOC100862086</t>
  </si>
  <si>
    <t>107587_at</t>
  </si>
  <si>
    <t>odd-skipped related 2</t>
  </si>
  <si>
    <t>GO:0000166: nucleotide binding, GO:0003674: molecular_function, GO:0005525: GTP binding, GO:0005575: cellular_component, GO:0008150: biological_process</t>
  </si>
  <si>
    <t>242584_at</t>
  </si>
  <si>
    <t>WD repeat domain 78</t>
  </si>
  <si>
    <t>78785_at</t>
  </si>
  <si>
    <t>CAP-GLY domain containing linker protein family, member 4</t>
  </si>
  <si>
    <t>58178_at</t>
  </si>
  <si>
    <t>VPS10 domain receptor protein SORCS 1</t>
  </si>
  <si>
    <t>18546_at</t>
  </si>
  <si>
    <t>Purkinje cell protein 4</t>
  </si>
  <si>
    <t>GO:0005516: calmodulin binding, GO:0005634: nucleus, GO:0005829: cytosol</t>
  </si>
  <si>
    <t>12816_at</t>
  </si>
  <si>
    <t>collagen, type XII, alpha 1</t>
  </si>
  <si>
    <t>GO:0005576: extracellular region, GO:0005578: proteinaceous extracellular matrix, GO:0005581: collagen, GO:0005595: collagen type XII, GO:0005615: extracellular space, GO:0007155: cell adhesion</t>
  </si>
  <si>
    <t>239405_at</t>
  </si>
  <si>
    <t>R-spondin 2 homolog (Xenopus laevis)</t>
  </si>
  <si>
    <t>GO:0001649: osteoblast differentiation, GO:0005576: extracellular region, GO:0008201: heparin binding, GO:0009986: cell surface, GO:0016055: Wnt receptor signaling pathway, GO:0030282: bone mineralization, GO:0035115: embryonic forelimb morphogenesis, GO:0035115: embryonic forelimb morphogenesis, GO:0035116: embryonic hindlimb morphogenesis, GO:0035116: embryonic hindlimb morphogenesis, GO:0050896: response to stimulus, GO:0060437: lung growth, GO:0060441: epithelial tube branching involved in lung morphogenesis, GO:0060535: trachea cartilage morphogenesis, GO:0090263: positive regulation of canonical Wnt receptor signaling pathway, GO:0090263: positive regulation of canonical Wnt receptor signaling pathway, GO:0090263: positive regulation of canonical Wnt receptor signaling pathway</t>
  </si>
  <si>
    <t>67792_at</t>
  </si>
  <si>
    <t>regulator of G-protein signaling 8</t>
  </si>
  <si>
    <t>GO:0004871: signal transducer activity, GO:0005515: protein binding, GO:0005634: nucleus, GO:0005737: cytoplasm, GO:0005790: smooth endoplasmic reticulum, GO:0007165: signal transduction, GO:0014069: postsynaptic density, GO:0030425: dendrite, GO:0043267: negative regulation of potassium ion transport, GO:0051019: mitogen-activated protein kinase binding</t>
  </si>
  <si>
    <t>GO:0005096: GTPase activator activity, GO:0005096: GTPase activator activity, GO:0005737: cytoplasm, GO:0005886: plasma membrane, GO:0007186: G-protein coupled receptor signaling pathway, GO:0009968: negative regulation of signal transduction, GO:0038032: termination of G-protein coupled receptor signaling pathway, GO:0043547: positive regulation of GTPase activity, GO:0043547: positive regulation of GTPase activity</t>
  </si>
  <si>
    <t>12759_at</t>
  </si>
  <si>
    <t>clusterin</t>
  </si>
  <si>
    <t>GO:0005576: extracellular region, GO:0005615: extracellular space, GO:0005634: nucleus, GO:0005737: cytoplasm, GO:0005739: mitochondrion, GO:0005783: endoplasmic reticulum, GO:0006916: anti-apoptosis, GO:0008219: cell death, GO:0008284: positive regulation of cell proliferation, GO:0008629: induction of apoptosis by intracellular signals, GO:0016020: membrane, GO:0016235: aggresome, GO:0030426: growth cone, GO:0031018: endocrine pancreas development, GO:0031410: cytoplasmic vesicle, GO:0031625: ubiquitin protein ligase binding, GO:0032436: positive regulation of proteasomal ubiquitin-dependent protein catabolic process, GO:0032463: negative regulation of protein homooligomerization, GO:0034366: spherical high-density lipoprotein particle, GO:0043005: neuron projection, GO:0043065: positive regulation of apoptotic process, GO:0043066: negative regulation of apoptotic process, GO:0043231: intracellular membrane-bounded organelle, GO:0045597: positive regulation of cell differentiation, GO:0048471: perinuclear region of cytoplasm, GO:0048812: neuron projection morphogenesis, GO:0050821: protein stabilization, GO:0051092: positive regulation of NF-kappaB transcription factor activity, GO:0051787: misfolded protein binding, GO:0051788: response to misfolded protein, GO:0061077: chaperone-mediated protein folding, GO:2000060: positive regulation of protein ubiquitination involved in ubiquitin-dependent protein catabolic process, GO:2001244: positive regulation of intrinsic apoptotic signaling pathway</t>
  </si>
  <si>
    <t>100504262_at</t>
  </si>
  <si>
    <t>GO:0001501: skeletal system development, GO:0001501: skeletal system development, GO:0001958: endochondral ossification, GO:0002076: osteoblast development, GO:0005179: hormone activity, GO:0005179: hormone activity, GO:0005615: extracellular space, GO:0005622: intracellular, GO:0005634: nucleus, GO:0005737: cytoplasm, GO:0005794: Golgi apparatus, GO:0007189: adenylate cyclase-activating G-protein coupled receptor signaling pathway, GO:0007492: endoderm development, GO:0008284: positive regulation of cell proliferation, GO:0010468: regulation of gene expression, GO:0016485: protein processing, GO:0030819: positive regulation of cAMP biosynthetic process, GO:0030855: epithelial cell differentiation, GO:0032331: negative regulation of chondrocyte differentiation, GO:0032331: negative regulation of chondrocyte differentiation, GO:0032331: negative regulation of chondrocyte differentiation, GO:0032331: negative regulation of chondrocyte differentiation, GO:0043129: surfactant homeostasis, GO:0043433: negative regulation of sequence-specific DNA binding transcription factor activity, GO:0048286: lung alveolus development, GO:0051428: peptide hormone receptor binding, GO:0060649: mammary gland bud elongation, GO:0060659: nipple sheath formation</t>
  </si>
  <si>
    <t>14167_at</t>
  </si>
  <si>
    <t>fibroblast growth factor 12</t>
  </si>
  <si>
    <t>GO:0005515: protein binding, GO:0005634: nucleus, GO:0007254: JNK cascade, GO:0007268: synaptic transmission, GO:0008083: growth factor activity, GO:0008201: heparin binding, GO:0008344: adult locomotory behavior, GO:0050905: neuromuscular process, GO:0090072: positive regulation of sodium ion transport via voltage-gated sodium channel activity</t>
  </si>
  <si>
    <t>67252_at</t>
  </si>
  <si>
    <t>CAP, adenylate cyclase-associated protein, 2 (yeast)</t>
  </si>
  <si>
    <t>GO:0000902: cell morphogenesis, GO:0003779: actin binding, GO:0005886: plasma membrane, GO:0007010: cytoskeleton organization, GO:0016020: membrane</t>
  </si>
  <si>
    <t>GO:0000165: MAPK cascade, GO:0000166: nucleotide binding, GO:0004672: protein kinase activity, GO:0004674: protein serine/threonine kinase activity, GO:0004707: MAP kinase activity, GO:0005524: ATP binding, GO:0005634: nucleus, GO:0005737: cytoplasm, GO:0006468: protein phosphorylation, GO:0007049: cell cycle, GO:0016301: kinase activity, GO:0016310: phosphorylation, GO:0016740: transferase activity, GO:0016772: transferase activity, transferring phosphorus-containing groups, GO:0019901: protein kinase binding, GO:0042803: protein homodimerization activity, GO:0046982: protein heterodimerization activity</t>
  </si>
  <si>
    <t>21983_at</t>
  </si>
  <si>
    <t>trophoblast glycoprotein</t>
  </si>
  <si>
    <t>GO:0005737: cytoplasm, GO:0005783: endoplasmic reticulum, GO:0016020: membrane, GO:0016021: integral to membrane</t>
  </si>
  <si>
    <t>14007_at</t>
  </si>
  <si>
    <t>CUGBP, Elav-like family member 2</t>
  </si>
  <si>
    <t>GO:0000166: nucleotide binding, GO:0003676: nucleic acid binding, GO:0003723: RNA binding, GO:0005634: nucleus, GO:0005634: nucleus, GO:0005737: cytoplasm, GO:0006376: mRNA splice site selection, GO:0006397: mRNA processing</t>
  </si>
  <si>
    <t>54608_at</t>
  </si>
  <si>
    <t>abhydrolase domain containing 2</t>
  </si>
  <si>
    <t>GO:0004091: carboxylesterase activity, GO:0008152: metabolic process, GO:0009611: response to wounding, GO:0016020: membrane, GO:0016021: integral to membrane, GO:0016787: hydrolase activity, GO:0030336: negative regulation of cell migration</t>
  </si>
  <si>
    <t>54384_at</t>
  </si>
  <si>
    <t>myotubularin related protein 7</t>
  </si>
  <si>
    <t>RIKEN cDNA A730020E08 gene</t>
  </si>
  <si>
    <t>69478_at</t>
  </si>
  <si>
    <t>RIKEN cDNA 2300009A05 gene</t>
  </si>
  <si>
    <t>19227_at</t>
  </si>
  <si>
    <t>parathyroid hormone-like peptide</t>
  </si>
  <si>
    <t>GO:0003674: molecular_function, GO:0005737: cytoplasm, GO:0005856: cytoskeleton, GO:0008270: zinc ion binding, GO:0014069: postsynaptic density, GO:0030054: cell junction, GO:0030425: dendrite, GO:0043025: neuronal cell body</t>
  </si>
  <si>
    <t>23859_at</t>
  </si>
  <si>
    <t>discs, large homolog 2 (Drosophila)</t>
  </si>
  <si>
    <t>GO:0005515: protein binding, GO:0005737: cytoplasm, GO:0005886: plasma membrane, GO:0007268: synaptic transmission, GO:0008022: protein C-terminus binding, GO:0010923: negative regulation of phosphatase activity, GO:0016020: membrane, GO:0019233: sensory perception of pain, GO:0019903: protein phosphatase binding, GO:0030054: cell junction, GO:0030165: PDZ domain binding, GO:0030425: dendrite, GO:0043025: neuronal cell body, GO:0043113: receptor clustering, GO:0044224: juxtaparanode region of axon, GO:0044224: juxtaparanode region of axon, GO:0045161: neuronal ion channel clustering, GO:0045202: synapse, GO:0045211: postsynaptic membrane, GO:0046982: protein heterodimerization activity</t>
  </si>
  <si>
    <t>237504_at</t>
  </si>
  <si>
    <t>Ras association (RalGDS/AF-6) domain family (N-terminal) member 9</t>
  </si>
  <si>
    <t>GO:0005768: endosome, GO:0005829: cytosol, GO:0007165: signal transduction, GO:0012510: trans-Golgi network transport vesicle membrane, GO:0019899: enzyme binding, GO:0019904: protein domain specific binding, GO:0046907: intracellular transport</t>
  </si>
  <si>
    <t>140492_at</t>
  </si>
  <si>
    <t>potassium intermediate/small conductance calcium-activated channel, subfamily N, member 2</t>
  </si>
  <si>
    <t>74342_at</t>
  </si>
  <si>
    <t>leucine rich repeat transmembrane neuronal 1</t>
  </si>
  <si>
    <t>GO:0003674: molecular_function, GO:0005783: endoplasmic reticulum, GO:0007610: behavior, GO:0016020: membrane, GO:0016021: integral to membrane, GO:0030424: axon, GO:0030426: growth cone, GO:0035418: protein localization to synapse, GO:0050808: synapse organization, GO:0050808: synapse organization, GO:0050808: synapse organization, GO:0060076: excitatory synapse</t>
  </si>
  <si>
    <t>225724_at</t>
  </si>
  <si>
    <t>mitogen-activated protein kinase 4</t>
  </si>
  <si>
    <t>GO:0004367: glycerol-3-phosphate dehydrogenase [NAD+] activity, GO:0004368: glycerol-3-phosphate dehydrogenase activity, GO:0005509: calcium ion binding, GO:0005739: mitochondrion, GO:0005743: mitochondrial inner membrane, GO:0006072: glycerol-3-phosphate metabolic process, GO:0006072: glycerol-3-phosphate metabolic process, GO:0006094: gluconeogenesis, GO:0006734: NADH metabolic process, GO:0009331: glycerol-3-phosphate dehydrogenase complex, GO:0016020: membrane, GO:0016491: oxidoreductase activity, GO:0052590: sn-glycerol-3-phosphate:ubiquinone oxidoreductase activity, GO:0052591: sn-glycerol-3-phosphate:ubiquinone-8 oxidoreductase activity, GO:0055114: oxidation-reduction process</t>
  </si>
  <si>
    <t>00564: Glycerophospholipid metabolism</t>
  </si>
  <si>
    <t>20324_at</t>
  </si>
  <si>
    <t>serum deprivation response</t>
  </si>
  <si>
    <t>GO:0001786: phosphatidylserine binding, GO:0005737: cytoplasm, GO:0005794: Golgi apparatus, GO:0005829: cytosol, GO:0005886: plasma membrane, GO:0008289: lipid binding, GO:0016020: membrane, GO:0045944: positive regulation of transcription from RNA polymerase II promoter</t>
  </si>
  <si>
    <t>330319_at</t>
  </si>
  <si>
    <t>WAS/WASL interacting protein family, member 3</t>
  </si>
  <si>
    <t>GO:0005730: nucleolus, GO:0005737: cytoplasm, GO:0008150: biological_process, GO:0017124: SH3 domain binding</t>
  </si>
  <si>
    <t>235402_at</t>
  </si>
  <si>
    <t>leucine rich repeat and Ig domain containing 1</t>
  </si>
  <si>
    <t>GO:0004725: protein tyrosine phosphatase activity, GO:0005515: protein binding, GO:0005737: cytoplasm, GO:0005829: cytosol, GO:0016020: membrane, GO:0016311: dephosphorylation, GO:0016787: hydrolase activity, GO:0016791: phosphatase activity, GO:0035335: peptidyl-tyrosine dephosphorylation, GO:0046855: inositol phosphate dephosphorylation, GO:0046856: phosphatidylinositol dephosphorylation</t>
  </si>
  <si>
    <t>00051: Fructose and mannose metabolism</t>
  </si>
  <si>
    <t>234214_at</t>
  </si>
  <si>
    <t>sorbin and SH3 domain containing 2</t>
  </si>
  <si>
    <t>GO:0000064: L-ornithine transmembrane transporter activity, GO:0002537: nitric oxide production involved in inflammatory response, GO:0003333: amino acid transmembrane transport, GO:0003333: amino acid transmembrane transport, GO:0005289: high affinity arginine transmembrane transporter activity, GO:0005737: cytoplasm, GO:0006809: nitric oxide biosynthetic process, GO:0006810: transport, GO:0006865: amino acid transport, GO:0015171: amino acid transmembrane transporter activity, GO:0015179: L-amino acid transmembrane transporter activity, GO:0015179: L-amino acid transmembrane transporter activity, GO:0015181: arginine transmembrane transporter activity, GO:0015181: arginine transmembrane transporter activity, GO:0015181: arginine transmembrane transporter activity, GO:0015189: L-lysine transmembrane transporter activity, GO:0015807: L-amino acid transport, GO:0015807: L-amino acid transport, GO:0015809: arginine transport, GO:0015809: arginine transport, GO:0015809: arginine transport, GO:0015819: lysine transport, GO:0015822: ornithine transport, GO:0015837: amine transport, GO:0015837: amine transport, GO:0015837: amine transport, GO:0015837: amine transport, GO:0016020: membrane, GO:0016021: integral to membrane, GO:0016021: integral to membrane, GO:0042116: macrophage activation, GO:0043030: regulation of macrophage activation, GO:0050727: regulation of inflammatory response</t>
  </si>
  <si>
    <t>54216_at</t>
  </si>
  <si>
    <t>protocadherin 7</t>
  </si>
  <si>
    <t>20355_at</t>
  </si>
  <si>
    <t>GO:0005216: ion channel activity, GO:0005516: calmodulin binding, GO:0006810: transport, GO:0006811: ion transport, GO:0006813: potassium ion transport, GO:0015269: calcium-activated potassium channel activity, GO:0016020: membrane, GO:0016021: integral to membrane, GO:0016286: small conductance calcium-activated potassium channel activity, GO:0034220: ion transmembrane transport, GO:0071805: potassium ion transmembrane transport, GO:0071805: potassium ion transmembrane transport</t>
  </si>
  <si>
    <t>14571_at</t>
  </si>
  <si>
    <t>glycerol phosphate dehydrogenase 2, mitochondrial</t>
  </si>
  <si>
    <t>sema domain, immunoglobulin domain (Ig), TM domain, and short cytoplasmic domain</t>
  </si>
  <si>
    <t>GO:0004872: receptor activity, GO:0005515: protein binding, GO:0005783: endoplasmic reticulum, GO:0005886: plasma membrane, GO:0007275: multicellular organismal development, GO:0007399: nervous system development, GO:0007411: axon guidance, GO:0016020: membrane, GO:0016021: integral to membrane, GO:0030154: cell differentiation, GO:0030517: negative regulation of axon extension, GO:0031290: retinal ganglion cell axon guidance, GO:0045202: synapse, GO:0045211: postsynaptic membrane</t>
  </si>
  <si>
    <t>77569_at</t>
  </si>
  <si>
    <t>LIM and calponin homology domains 1</t>
  </si>
  <si>
    <t>GO:0003674: molecular_function, GO:0003779: actin binding, GO:0005575: cellular_component, GO:0008150: biological_process, GO:0008270: zinc ion binding, GO:0031032: actomyosin structure organization, GO:0046872: metal ion binding</t>
  </si>
  <si>
    <t>72022_at</t>
  </si>
  <si>
    <t>solute carrier family 35, member F2</t>
  </si>
  <si>
    <t>100861925_at</t>
  </si>
  <si>
    <t>uncharacterized LOC100861925</t>
  </si>
  <si>
    <t>106014_at</t>
  </si>
  <si>
    <t>family with sequence similarity 19, member A5</t>
  </si>
  <si>
    <t>GO:0003674: molecular_function, GO:0005575: cellular_component, GO:0005576: extracellular region, GO:0008150: biological_process, GO:0016020: membrane, GO:0016021: integral to membrane</t>
  </si>
  <si>
    <t>108058_at</t>
  </si>
  <si>
    <t>calcium/calmodulin-dependent protein kinase II, delta</t>
  </si>
  <si>
    <t>GO:0005154: epidermal growth factor receptor binding, GO:0005515: protein binding, GO:0005622: intracellular, GO:0005886: plasma membrane, GO:0016020: membrane, GO:0016021: integral to membrane, GO:0021954: central nervous system neuron development, GO:0021954: central nervous system neuron development, GO:0031175: neuron projection development, GO:0043491: protein kinase B signaling cascade, GO:0048715: negative regulation of oligodendrocyte differentiation</t>
  </si>
  <si>
    <t>11988_at</t>
  </si>
  <si>
    <t>solute carrier family 7 (cationic amino acid transporter, y+ system), member 2</t>
  </si>
  <si>
    <t>GO:0000082: G1/S transition of mitotic cell cycle, GO:0000166: nucleotide binding, GO:0001666: response to hypoxia, GO:0002028: regulation of sodium ion transport, GO:0004672: protein kinase activity, GO:0004674: protein serine/threonine kinase activity, GO:0004674: protein serine/threonine kinase activity, GO:0004683: calmodulin-dependent protein kinase activity, GO:0005516: calmodulin binding, GO:0005524: ATP binding, GO:0005634: nucleus, GO:0005634: nucleus, GO:0005737: cytoplasm, GO:0005829: cytosol, GO:0005886: plasma membrane, GO:0005954: calcium- and calmodulin-dependent protein kinase complex, GO:0006468: protein phosphorylation, GO:0006816: calcium ion transport, GO:0006816: calcium ion transport, GO:0008284: positive regulation of cell proliferation, GO:0010389: regulation of G2/M transition of mitotic cell cycle, GO:0010613: positive regulation of cardiac muscle hypertrophy, GO:0014704: intercalated disc, GO:0016020: membrane, GO:0016301: kinase activity, GO:0016310: phosphorylation, GO:0016529: sarcoplasmic reticulum, GO:0016740: transferase activity, GO:0016772: transferase activity, transferring phosphorus-containing groups, GO:0018105: peptidyl-serine phosphorylation, GO:0030007: cellular potassium ion homeostasis, GO:0030315: T-tubule, GO:0031594: neuromuscular junction, GO:0043025: neuronal cell body, GO:0043194: axon initial segment, GO:0046777: protein autophosphorylation, GO:0046777: protein autophosphorylation, GO:0060048: cardiac muscle contraction, GO:0060341: regulation of cellular localization</t>
  </si>
  <si>
    <t>04012: ErbB signaling pathway, 04020: Calcium signaling pathway, 04114: Oocyte meiosis, 04310: Wnt signaling pathway, 04720: Long-term potentiation, 04722: Neurotrophin signaling pathway, 04740: Olfactory transduction, 04912: GnRH signaling pathway, 04916: Melanogenesis, 04971: Gastric acid secretion, 05214: Glioma</t>
  </si>
  <si>
    <t>319876_at</t>
  </si>
  <si>
    <t>Cobl-like 1</t>
  </si>
  <si>
    <t>270162_at</t>
  </si>
  <si>
    <t>ELMO/CED-12 domain containing 1</t>
  </si>
  <si>
    <t>GO:0000287: magnesium ion binding, GO:0004721: phosphoprotein phosphatase activity, GO:0004725: protein tyrosine phosphatase activity, GO:0004725: protein tyrosine phosphatase activity, GO:0005634: nucleus, GO:0005737: cytoplasm, GO:0005739: mitochondrion, GO:0006281: DNA repair, GO:0006351: transcription, DNA-dependent, GO:0006355: regulation of transcription, DNA-dependent, GO:0006470: protein dephosphorylation, GO:0006915: apoptotic process, GO:0006974: response to DNA damage stimulus, GO:0007275: multicellular organismal development, GO:0014706: striated muscle tissue development, GO:0016311: dephosphorylation, GO:0016568: chromatin modification, GO:0016576: histone dephosphorylation, GO:0016787: hydrolase activity, GO:0035335: peptidyl-tyrosine dephosphorylation, GO:0035335: peptidyl-tyrosine dephosphorylation, GO:0046872: metal ion binding</t>
  </si>
  <si>
    <t>27226_at</t>
  </si>
  <si>
    <t>phospholipase A2, group VII (platelet-activating factor acetylhydrolase, plasma)</t>
  </si>
  <si>
    <t>GO:0003847: 1-alkyl-2-acetylglycerophosphocholine esterase activity, GO:0005543: phospholipid binding, GO:0005576: extracellular region, GO:0006954: inflammatory response, GO:0016042: lipid catabolic process, GO:0016787: hydrolase activity, GO:0034362: low-density lipoprotein particle, GO:0034374: low-density lipoprotein particle remodeling, GO:0034440: lipid oxidation, GO:0034441: plasma lipoprotein particle oxidation, GO:0047499: calcium-independent phospholipase A2 activity, GO:0090026: positive regulation of monocyte chemotaxis</t>
  </si>
  <si>
    <t>00565: Ether lipid metabolism, 01100: Metabolic pathways</t>
  </si>
  <si>
    <t>19277_at</t>
  </si>
  <si>
    <t>protein tyrosine phosphatase, receptor type, O</t>
  </si>
  <si>
    <t>GO:0000902: cell morphogenesis, GO:0002548: monocyte chemotaxis, GO:0003093: regulation of glomerular filtration, GO:0004721: phosphoprotein phosphatase activity, GO:0004725: protein tyrosine phosphatase activity, GO:0004725: protein tyrosine phosphatase activity, GO:0005515: protein binding, GO:0005886: plasma membrane, GO:0006470: protein dephosphorylation, GO:0007411: axon guidance, GO:0016020: membrane, GO:0016021: integral to membrane, GO:0016311: dephosphorylation, GO:0016324: apical plasma membrane, GO:0016328: lateral plasma membrane, GO:0016787: hydrolase activity, GO:0016791: phosphatase activity, GO:0017147: Wnt-protein binding, GO:0030032: lamellipodium assembly, GO:0032835: glomerulus development, GO:0035335: peptidyl-tyrosine dephosphorylation, GO:0035335: peptidyl-tyrosine dephosphorylation, GO:0036060: slit diaphragm assembly, GO:0042803: protein homodimerization activity, GO:0043197: dendritic spine, GO:0072112: glomerular visceral epithelial cell differentiation, GO:0090090: negative regulation of canonical Wnt receptor signaling pathway</t>
  </si>
  <si>
    <t>99470_at</t>
  </si>
  <si>
    <t>membrane associated guanylate kinase, WW and PDZ domain containing 3</t>
  </si>
  <si>
    <t>GO:0000166: nucleotide binding, GO:0005109: frizzled binding, GO:0005515: protein binding, GO:0005524: ATP binding, GO:0005634: nucleus, GO:0005886: plasma membrane, GO:0005911: cell-cell junction, GO:0005923: tight junction, GO:0016020: membrane, GO:0016301: kinase activity, GO:0016310: phosphorylation, GO:0030054: cell junction, GO:0043507: positive regulation of JUN kinase activity</t>
  </si>
  <si>
    <t>67621_at</t>
  </si>
  <si>
    <t>BEN domain containing 5</t>
  </si>
  <si>
    <t>GO:0003674: molecular_function, GO:0005794: Golgi apparatus, GO:0008150: biological_process</t>
  </si>
  <si>
    <t>319446_at</t>
  </si>
  <si>
    <t>dipeptidase 2</t>
  </si>
  <si>
    <t>GO:0005096: GTPase activator activity, GO:0005634: nucleus, GO:0005737: cytoplasm, GO:0005856: cytoskeleton, GO:0006909: phagocytosis, GO:0043547: positive regulation of GTPase activity</t>
  </si>
  <si>
    <t>14049_at</t>
  </si>
  <si>
    <t>eyes absent 2 homolog (Drosophila)</t>
  </si>
  <si>
    <t>GO:0005575: cellular_component, GO:0006508: proteolysis, GO:0008233: peptidase activity, GO:0008235: metalloexopeptidase activity, GO:0008237: metallopeptidase activity, GO:0008238: exopeptidase activity, GO:0008239: dipeptidyl-peptidase activity, GO:0016020: membrane, GO:0016787: hydrolase activity, GO:0016805: dipeptidase activity, GO:0031225: anchored to membrane, GO:0046872: metal ion binding</t>
  </si>
  <si>
    <t>72433_at</t>
  </si>
  <si>
    <t>RAB38, member of RAS oncogene family</t>
  </si>
  <si>
    <t>GO:0000166: nucleotide binding, GO:0005515: protein binding, GO:0005525: GTP binding, GO:0005622: intracellular, GO:0005737: cytoplasm, GO:0005783: endoplasmic reticulum, GO:0005794: Golgi apparatus, GO:0005829: cytosol, GO:0005886: plasma membrane, GO:0006810: transport, GO:0006996: organelle organization, GO:0007264: small GTPase mediated signal transduction, GO:0015031: protein transport, GO:0016020: membrane, GO:0060155: platelet dense granule organization</t>
  </si>
  <si>
    <t>12425_at</t>
  </si>
  <si>
    <t>cholecystokinin A receptor</t>
  </si>
  <si>
    <t>GO:0001659: temperature homeostasis, GO:0001696: gastric acid secretion, GO:0001764: neuron migration, GO:0002023: reduction of food intake in response to dietary excess, GO:0004871: signal transducer activity, GO:0004930: G-protein coupled receptor activity, GO:0004951: cholecystokinin receptor activity, GO:0005737: cytoplasm, GO:0005764: lysosome, GO:0005768: endosome, GO:0005783: endoplasmic reticulum, GO:0005886: plasma membrane, GO:0007165: signal transduction, GO:0007186: G-protein coupled receptor signaling pathway, GO:0007204: elevation of cytosolic calcium ion concentration, GO:0007218: neuropeptide signaling pathway, GO:0007268: synaptic transmission, GO:0007409: axonogenesis, GO:0007631: feeding behavior, GO:0009408: response to heat, GO:0016020: membrane, GO:0016021: integral to membrane, GO:0030073: insulin secretion, GO:0030157: pancreatic juice secretion, GO:0030900: forebrain development, GO:0031532: actin cytoskeleton reorganization, GO:0042594: response to starvation, GO:0043195: terminal button, GO:0043266: regulation of potassium ion transport, GO:0046883: regulation of hormone secretion, GO:0051929: positive regulation of calcium ion transport via voltage-gated calcium channel activity, GO:0090274: positive regulation of somatostatin secretion</t>
  </si>
  <si>
    <t>04020: Calcium signaling pathway, 04080: Neuroactive ligand-receptor interaction, 04972: Pancreatic secretion</t>
  </si>
  <si>
    <t>105853_at</t>
  </si>
  <si>
    <t>mal, T cell differentiation protein 2</t>
  </si>
  <si>
    <t>12862_at</t>
  </si>
  <si>
    <t>cytochrome c oxidase, subunit VI a, polypeptide 2</t>
  </si>
  <si>
    <t>GO:0004129: cytochrome-c oxidase activity, GO:0005739: mitochondrion, GO:0005743: mitochondrial inner membrane, GO:0005751: mitochondrial respiratory chain complex IV, GO:0015992: proton transport, GO:0016020: membrane, GO:0034220: ion transmembrane transport</t>
  </si>
  <si>
    <t>00190: Oxidative phosphorylation, 01100: Metabolic pathways, 04260: Cardiac muscle contraction, 05010: Alzheimer's disease, 05012: Parkinson's disease, 05016: Huntington's disease</t>
  </si>
  <si>
    <t>216749_at</t>
  </si>
  <si>
    <t>GO:0001607: neuromedin U receptor activity, GO:0002023: reduction of food intake in response to dietary excess, GO:0004871: signal transducer activity, GO:0004930: G-protein coupled receptor activity, GO:0005229: intracellular calcium activated chloride channel activity, GO:0005525: GTP binding, GO:0005622: intracellular, GO:0005886: plasma membrane, GO:0006816: calcium ion transport, GO:0006821: chloride transport, GO:0007165: signal transduction, GO:0007186: G-protein coupled receptor signaling pathway, GO:0007200: phospholipase C-activating G-protein coupled receptor signaling pathway, GO:0007204: elevation of cytosolic calcium ion concentration, GO:0007218: neuropeptide signaling pathway, GO:0007218: neuropeptide signaling pathway, GO:0007268: synaptic transmission, GO:0007625: grooming behavior, GO:0008188: neuropeptide receptor activity, GO:0008188: neuropeptide receptor activity, GO:0016020: membrane, GO:0016021: integral to membrane, GO:0016021: integral to membrane, GO:0034220: ion transmembrane transport, GO:0042924: neuromedin U binding, GO:0043006: activation of phospholipase A2 activity by calcium-mediated signaling, GO:0048016: inositol phosphate-mediated signaling, GO:0048265: response to pain, GO:0050482: arachidonic acid secretion</t>
  </si>
  <si>
    <t>238276_at</t>
  </si>
  <si>
    <t>A kinase (PRKA) anchor protein 5</t>
  </si>
  <si>
    <t>GO:0001664: G-protein coupled receptor binding, GO:0001934: positive regulation of protein phosphorylation, GO:0003779: actin binding, GO:0005516: calmodulin binding, GO:0005737: cytoplasm, GO:0005886: plasma membrane, GO:0006605: protein targeting, GO:0007165: signal transduction, GO:0008179: adenylate cyclase binding, GO:0010524: positive regulation of calcium ion transport into cytosol, GO:0010739: positive regulation of protein kinase A signaling cascade, GO:0014069: postsynaptic density, GO:0016020: membrane, GO:0016323: basolateral plasma membrane, GO:0019900: kinase binding, GO:0019901: protein kinase binding, GO:0019904: protein domain specific binding, GO:0030346: protein phosphatase 2B binding, GO:0030819: positive regulation of cAMP biosynthetic process, GO:0031527: filopodium membrane, GO:0032279: asymmetric synapse, GO:0032403: protein complex binding, GO:0032590: dendrite membrane, GO:0032591: dendritic spine membrane, GO:0034237: protein kinase A regulatory subunit binding, GO:0043025: neuronal cell body, GO:0043197: dendritic spine, GO:0043198: dendritic shaft, GO:0043234: protein complex, GO:0043267: negative regulation of potassium ion transport, GO:0043271: negative regulation of ion transport, GO:0043624: cellular protein complex disassembly, GO:0045296: cadherin binding, GO:0048471: perinuclear region of cytoplasm, GO:0050775: positive regulation of dendrite morphogenesis, GO:0050811: GABA receptor binding, GO:0051533: positive regulation of NFAT protein import into nucleus</t>
  </si>
  <si>
    <t>15551_at</t>
  </si>
  <si>
    <t>5-hydroxytryptamine (serotonin) receptor 1B</t>
  </si>
  <si>
    <t>neuromedin U receptor 2</t>
  </si>
  <si>
    <t>GO:0002031: G-protein coupled receptor internalization, GO:0004871: signal transducer activity, GO:0004930: G-protein coupled receptor activity, GO:0004993: serotonin receptor activity, GO:0004993: serotonin receptor activity, GO:0005737: cytoplasm, GO:0005886: plasma membrane, GO:0005886: plasma membrane, GO:0007165: signal transduction, GO:0007186: G-protein coupled receptor signaling pathway, GO:0007205: protein kinase C-activating G-protein coupled receptor signaling pathway, GO:0007210: serotonin receptor signaling pathway, GO:0007268: synaptic transmission, GO:0007631: feeding behavior, GO:0008144: drug binding, GO:0008144: drug binding, GO:0009636: response to toxin, GO:0014059: regulation of dopamine secretion, GO:0016020: membrane, GO:0016021: integral to membrane, GO:0030818: negative regulation of cAMP biosynthetic process, GO:0030818: negative regulation of cAMP biosynthetic process, GO:0032229: negative regulation of synaptic transmission, GABAergic, GO:0042220: response to cocaine, GO:0042493: response to drug, GO:0042756: drinking behavior, GO:0045471: response to ethanol, GO:0046849: bone remodeling, GO:0051378: serotonin binding, GO:0051378: serotonin binding, GO:0051967: negative regulation of synaptic transmission, glutamatergic, GO:0071502: cellular response to temperature stimulus</t>
  </si>
  <si>
    <t>18018_at</t>
  </si>
  <si>
    <t>nuclear factor of activated T cells, cytoplasmic, calcineurin dependent 1</t>
  </si>
  <si>
    <t>GO:0000082: G1/S transition of mitotic cell cycle, GO:0000790: nuclear chromatin, GO:0001837: epithelial to mesenchymal transition, GO:0003677: DNA binding, GO:0005634: nucleus, GO:0005667: transcription factor complex, GO:0005737: cytoplasm, GO:0006816: calcium ion transport, GO:0007507: heart development, GO:0035556: intracellular signal transduction, GO:0043565: sequence-specific DNA binding, GO:0044212: transcription regulatory region DNA binding, GO:0045893: positive regulation of transcription, DNA-dependent, GO:0045944: positive regulation of transcription from RNA polymerase II promoter</t>
  </si>
  <si>
    <t>GO:0001750: photoreceptor outer segment, GO:0001750: photoreceptor outer segment, GO:0001964: startle response, GO:0002009: morphogenesis of an epithelium, GO:0005509: calcium ion binding, GO:0005515: protein binding, GO:0005615: extracellular space, GO:0005737: cytoplasm, GO:0005886: plasma membrane, GO:0007015: actin filament organization, GO:0007155: cell adhesion, GO:0007156: homophilic cell adhesion, GO:0007601: visual perception, GO:0007605: sensory perception of sound, GO:0007605: sensory perception of sound, GO:0007605: sensory perception of sound, GO:0007626: locomotory behavior, GO:0007628: adult walking behavior, GO:0008344: adult locomotory behavior, GO:0016020: membrane, GO:0016021: integral to membrane, GO:0032420: stereocilium, GO:0035058: nonmotile primary cilium assembly, GO:0035264: multicellular organism growth, GO:0042491: auditory receptor cell differentiation, GO:0045202: synapse, GO:0045494: photoreceptor cell maintenance, GO:0048839: inner ear development, GO:0050910: detection of mechanical stimulus involved in sensory perception of sound, GO:0050953: sensory perception of light stimulus, GO:0050957: equilibrioception, GO:0050973: detection of mechanical stimulus involved in equilibrioception, GO:0060013: righting reflex, GO:0060088: auditory receptor cell stereocilium organization, GO:0060088: auditory receptor cell stereocilium organization</t>
  </si>
  <si>
    <t>16510_at</t>
  </si>
  <si>
    <t>potassium voltage-gated channel, subfamily H (eag-related), member 1</t>
  </si>
  <si>
    <t>319405_at</t>
  </si>
  <si>
    <t>RIKEN cDNA D430036J16 gene</t>
  </si>
  <si>
    <t>53419_at</t>
  </si>
  <si>
    <t>corin</t>
  </si>
  <si>
    <t>GO:0003050: regulation of systemic arterial blood pressure by atrial natriuretic peptide, GO:0003050: regulation of systemic arterial blood pressure by atrial natriuretic peptide, GO:0003824: catalytic activity, GO:0004252: serine-type endopeptidase activity, GO:0004252: serine-type endopeptidase activity, GO:0005044: scavenger receptor activity, GO:0005576: extracellular region, GO:0005886: plasma membrane, GO:0005887: integral to plasma membrane, GO:0006508: proteolysis, GO:0006898: receptor-mediated endocytosis, GO:0007565: female pregnancy, GO:0007565: female pregnancy, GO:0008217: regulation of blood pressure, GO:0008217: regulation of blood pressure, GO:0008233: peptidase activity, GO:0008236: serine-type peptidase activity, GO:0009986: cell surface, GO:0016020: membrane, GO:0016021: integral to membrane, GO:0016023: cytoplasmic membrane-bounded vesicle, GO:0016485: protein processing, GO:0016486: peptide hormone processing, GO:0016486: peptide hormone processing, GO:0016787: hydrolase activity, GO:0030182: neuron differentiation, GO:0035813: regulation of renal sodium excretion, GO:0035813: regulation of renal sodium excretion, GO:0070008: serine-type exopeptidase activity</t>
  </si>
  <si>
    <t>18751_at</t>
  </si>
  <si>
    <t>protein kinase C, beta</t>
  </si>
  <si>
    <t>04310: Wnt signaling pathway, 04360: Axon guidance, 04370: VEGF signaling pathway, 04380: Osteoclast differentiation, 04650: Natural killer cell mediated cytotoxicity, 04660: T cell receptor signaling pathway, 04662: B cell receptor signaling pathway</t>
  </si>
  <si>
    <t>71198_at</t>
  </si>
  <si>
    <t>OTU domain containing 1</t>
  </si>
  <si>
    <t>70701_at</t>
  </si>
  <si>
    <t>NIPA-like domain containing 1</t>
  </si>
  <si>
    <t>11994_at</t>
  </si>
  <si>
    <t>protocadherin 15</t>
  </si>
  <si>
    <t>GO:0000166: nucleotide binding, GO:0003682: chromatin binding, GO:0004672: protein kinase activity, GO:0004674: protein serine/threonine kinase activity, GO:0004697: protein kinase C activity, GO:0004697: protein kinase C activity, GO:0005080: protein kinase C binding, GO:0005246: calcium channel regulator activity, GO:0005515: protein binding, GO:0005524: ATP binding, GO:0005622: intracellular, GO:0005634: nucleus, GO:0005634: nucleus, GO:0005737: cytoplasm, GO:0005737: cytoplasm, GO:0005813: centrosome, GO:0005829: cytosol, GO:0005886: plasma membrane, GO:0006351: transcription, DNA-dependent, GO:0006355: regulation of transcription, DNA-dependent, GO:0006357: regulation of transcription from RNA polymerase II promoter, GO:0006468: protein phosphorylation, GO:0006816: calcium ion transport, GO:0006874: cellular calcium ion homeostasis, GO:0006915: apoptotic process, GO:0008270: zinc ion binding, GO:0010829: negative regulation of glucose transport, GO:0014059: regulation of dopamine secretion, GO:0016020: membrane, GO:0016301: kinase activity, GO:0016310: phosphorylation, GO:0016568: chromatin modification, GO:0016740: transferase activity, GO:0016772: transferase activity, transferring phosphorus-containing groups, GO:0030374: ligand-dependent nuclear receptor transcription coactivator activity, GO:0030949: positive regulation of vascular endothelial growth factor receptor signaling pathway, GO:0031526: brush border membrane, GO:0035403: histone kinase activity (H3-T6 specific), GO:0035408: histone H3-T6 phosphorylation, GO:0035556: intracellular signal transduction, GO:0040008: regulation of growth, GO:0042113: B cell activation, GO:0042393: histone binding, GO:0042493: response to drug, GO:0043123: positive regulation of I-kappaB kinase/NF-kappaB cascade, GO:0045766: positive regulation of angiogenesis, GO:0046627: negative regulation of insulin receptor signaling pathway, GO:0046872: metal ion binding, GO:0050681: androgen receptor binding, GO:0050853: B cell receptor signaling pathway, GO:0050861: positive regulation of B cell receptor signaling pathway, GO:0051092: positive regulation of NF-kappaB transcription factor activity, GO:0071322: cellular response to carbohydrate stimulus</t>
  </si>
  <si>
    <t>04010: MAPK signaling pathway, 04012: ErbB signaling pathway, 04020: Calcium signaling pathway, 04062: Chemokine signaling pathway, 04070: Phosphatidylinositol signaling system, 04270: Vascular smooth muscle contraction, 04310: Wnt signaling pathway, 04370: VEGF signaling pathway, 04510: Focal adhesion, 04530: Tight junction, 04540: Gap junction, 04650: Natural killer cell mediated cytotoxicity, 04662: B cell receptor signaling pathway, 04664: Fc epsilon RI signaling pathway, 04666: Fc gamma R-mediated phagocytosis, 04670: Leukocyte transendothelial migration, 04720: Long-term potentiation, 04730: Long-term depression, 04912: GnRH signaling pathway, 04916: Melanogenesis, 04960: Aldosterone-regulated sodium reabsorption, 04970: Salivary secretion, 04971: Gastric acid secretion, 04972: Pancreatic secretion, 04973: Carbohydrate digestion and absorption, 05140: Leishmaniasis, 05143: African trypanosomiasis, 05146: Amoebiasis, 05200: Pathways in cancer, 05214: Glioma, 05223: Non-small cell lung cancer</t>
  </si>
  <si>
    <t>22778_at</t>
  </si>
  <si>
    <t>IKAROS family zinc finger 1</t>
  </si>
  <si>
    <t>GO:0000122: negative regulation of transcription from RNA polymerase II promoter, GO:0001779: natural killer cell differentiation, GO:0003677: DNA binding, GO:0003700: sequence-specific DNA binding transcription factor activity, GO:0005515: protein binding, GO:0005634: nucleus, GO:0005667: transcription factor complex, GO:0005721: centromeric heterochromatin, GO:0006355: regulation of transcription, DNA-dependent, GO:0030097: hemopoiesis, GO:0030183: B cell differentiation, GO:0030217: T cell differentiation, GO:0030900: forebrain development, GO:0040018: positive regulation of multicellular organism growth, GO:0040018: positive regulation of multicellular organism growth, GO:0043565: sequence-specific DNA binding, GO:0045660: positive regulation of neutrophil differentiation, GO:0045892: negative regulation of transcription, DNA-dependent, GO:0045893: positive regulation of transcription, DNA-dependent, GO:0045944: positive regulation of transcription from RNA polymerase II promoter, GO:0046982: protein heterodimerization activity, GO:0048535: lymph node development, GO:0048538: thymus development, GO:0048541: Peyer's patch development, GO:0048732: gland development, GO:0051138: positive regulation of NK T cell differentiation, GO:0060041: retina development in camera-type eye</t>
  </si>
  <si>
    <t>71914_at</t>
  </si>
  <si>
    <t>anthrax toxin receptor 2</t>
  </si>
  <si>
    <t>GO:0004872: receptor activity, GO:0016020: membrane, GO:0016021: integral to membrane, GO:0022414: reproductive process, GO:0046872: metal ion binding</t>
  </si>
  <si>
    <t>228677_at</t>
  </si>
  <si>
    <t>serine palmitoyltransferase, long chain base subunit 3</t>
  </si>
  <si>
    <t>GO:0000800: lateral element, GO:0005515: protein binding, GO:0005694: chromosome, GO:0006310: DNA recombination, GO:0007126: meiosis, GO:0007129: synapsis, GO:0007283: spermatogenesis, GO:0042138: meiotic DNA double-strand break formation, GO:0048477: oogenesis</t>
  </si>
  <si>
    <t>67972_at</t>
  </si>
  <si>
    <t>ATPase, Ca++ transporting, plasma membrane 1</t>
  </si>
  <si>
    <t>GO:0000166: nucleotide binding, GO:0005515: protein binding, GO:0005524: ATP binding, GO:0005887: integral to plasma membrane, GO:0006816: calcium ion transport, GO:0016020: membrane, GO:0016021: integral to membrane, GO:0016324: apical plasma membrane, GO:0016787: hydrolase activity, GO:0030165: PDZ domain binding, GO:0045121: membrane raft, GO:0045177: apical part of cell, GO:0048662: negative regulation of smooth muscle cell proliferation, GO:0070588: calcium ion transmembrane transport</t>
  </si>
  <si>
    <t>04020: Calcium signaling pathway, 04970: Salivary secretion, 04972: Pancreatic secretion</t>
  </si>
  <si>
    <t>234515_at</t>
  </si>
  <si>
    <t>inositol polyphosphate-4-phosphatase, type II</t>
  </si>
  <si>
    <t>GO:0005575: cellular_component, GO:0008152: metabolic process, GO:0016311: dephosphorylation, GO:0016316: phosphatidylinositol-3,4-bisphosphate 4-phosphatase activity, GO:0016787: hydrolase activity, GO:0034597: phosphatidylinositol-4,5-bisphosphate 4-phosphatase activity, GO:0036092: phosphatidylinositol-3-phosphate biosynthetic process, GO:0046855: inositol phosphate dephosphorylation, GO:0046856: phosphatidylinositol dephosphorylation</t>
  </si>
  <si>
    <t>13593_at</t>
  </si>
  <si>
    <t>early B cell factor 3</t>
  </si>
  <si>
    <t>GO:0003056: regulation of vascular smooth muscle contraction, GO:0004871: signal transducer activity, GO:0004930: G-protein coupled receptor activity, GO:0005886: plasma membrane, GO:0005887: integral to plasma membrane, GO:0006939: smooth muscle contraction, GO:0007165: signal transduction, GO:0007186: G-protein coupled receptor signaling pathway, GO:0007207: phospholipase C-activating G-protein coupled acetylcholine receptor signaling pathway, GO:0007213: G-protein coupled acetylcholine receptor signaling pathway, GO:0007213: G-protein coupled acetylcholine receptor signaling pathway, GO:0007271: synaptic transmission, cholinergic, GO:0007586: digestion, GO:0008144: drug binding, GO:0015464: acetylcholine receptor activity, GO:0016020: membrane, GO:0016021: integral to membrane, GO:0016907: G-protein coupled acetylcholine receptor activity, GO:0019229: regulation of vasoconstriction, GO:0030054: cell junction, GO:0030425: dendrite, GO:0032279: asymmetric synapse, GO:0042166: acetylcholine binding, GO:0043679: axon terminus, GO:0045202: synapse, GO:0045211: postsynaptic membrane, GO:0045987: positive regulation of smooth muscle contraction, GO:0045987: positive regulation of smooth muscle contraction</t>
  </si>
  <si>
    <t>04020: Calcium signaling pathway, 04080: Neuroactive ligand-receptor interaction, 04810: Regulation of actin cytoskeleton, 04970: Salivary secretion, 04971: Gastric acid secretion, 04972: Pancreatic secretion</t>
  </si>
  <si>
    <t>381217_at</t>
  </si>
  <si>
    <t>GO:0003824: catalytic activity, GO:0004758: serine C-palmitoyltransferase activity, GO:0005783: endoplasmic reticulum, GO:0008152: metabolic process, GO:0009058: biosynthetic process, GO:0016020: membrane, GO:0016021: integral to membrane, GO:0016740: transferase activity, GO:0016746: transferase activity, transferring acyl groups, GO:0017059: serine C-palmitoyltransferase complex, GO:0030170: pyridoxal phosphate binding, GO:0046520: sphingoid biosynthetic process</t>
  </si>
  <si>
    <t>75033_at</t>
  </si>
  <si>
    <t>meiosis-specific, MEI4 homolog (S. cerevisiae)</t>
  </si>
  <si>
    <t>family with sequence similarity 189, member A2</t>
  </si>
  <si>
    <t>329154_at</t>
  </si>
  <si>
    <t>ankyrin repeat domain 44</t>
  </si>
  <si>
    <t>140795_at</t>
  </si>
  <si>
    <t>purinergic receptor P2Y, G-protein coupled, 14</t>
  </si>
  <si>
    <t>GO:0004871: signal transducer activity, GO:0004930: G-protein coupled receptor activity, GO:0005886: plasma membrane, GO:0006955: immune response, GO:0007165: signal transduction, GO:0007186: G-protein coupled receptor signaling pathway, GO:0016020: membrane, GO:0016021: integral to membrane, GO:0035589: G-protein coupled purinergic nucleotide receptor signaling pathway, GO:0045028: G-protein coupled purinergic nucleotide receptor activity</t>
  </si>
  <si>
    <t>225266_at</t>
  </si>
  <si>
    <t>kelch-like 14 (Drosophila)</t>
  </si>
  <si>
    <t>GO:0005515: protein binding, GO:0005737: cytoplasm, GO:0005783: endoplasmic reticulum, GO:0008150: biological_process, GO:0016020: membrane, GO:0043005: neuron projection, GO:0043025: neuronal cell body</t>
  </si>
  <si>
    <t>104798_at</t>
  </si>
  <si>
    <t>RIKEN cDNA E030019B13 gene</t>
  </si>
  <si>
    <t>21869_at</t>
  </si>
  <si>
    <t>NK2 homeobox 1</t>
  </si>
  <si>
    <t>GO:0003677: DNA binding, GO:0005515: protein binding, GO:0005634: nucleus, GO:0006351: transcription, DNA-dependent, GO:0006355: regulation of transcription, DNA-dependent, GO:0007275: multicellular organismal development, GO:0045893: positive regulation of transcription, DNA-dependent, GO:0046872: metal ion binding, GO:0046983: protein dimerization activity</t>
  </si>
  <si>
    <t>76438_at</t>
  </si>
  <si>
    <t>raftlin lipid raft linker 1</t>
  </si>
  <si>
    <t>GO:0005886: plasma membrane, GO:0016020: membrane, GO:0045121: membrane raft</t>
  </si>
  <si>
    <t>12671_at</t>
  </si>
  <si>
    <t>cholinergic receptor, muscarinic 3, cardiac</t>
  </si>
  <si>
    <t>GO:0000122: negative regulation of transcription from RNA polymerase II promoter, GO:0001764: neuron migration, GO:0002016: regulation of blood volume by renin-angiotensin, GO:0003677: DNA binding, GO:0003700: sequence-specific DNA binding transcription factor activity, GO:0003700: sequence-specific DNA binding transcription factor activity, GO:0003705: RNA polymerase II distal enhancer sequence-specific DNA binding transcription factor activity, GO:0005515: protein binding, GO:0005634: nucleus, GO:0005634: nucleus, GO:0005654: nucleoplasm, GO:0005667: transcription factor complex, GO:0006351: transcription, DNA-dependent, GO:0006355: regulation of transcription, DNA-dependent, GO:0006355: regulation of transcription, DNA-dependent, GO:0006357: regulation of transcription from RNA polymerase II promoter, GO:0006644: phospholipid metabolic process, GO:0007389: pattern specification process, GO:0007411: axon guidance, GO:0007420: brain development, GO:0007420: brain development, GO:0007420: brain development, GO:0007492: endoderm development, GO:0007626: locomotory behavior, GO:0007626: locomotory behavior, GO:0007631: feeding behavior, GO:0008134: transcription factor binding, GO:0009887: organ morphogenesis, GO:0010628: positive regulation of gene expression, GO:0010719: negative regulation of epithelial to mesenchymal transition, GO:0021537: telencephalon development, GO:0021759: globus pallidus development, GO:0021766: hippocampus development, GO:0021795: cerebral cortex cell migration, GO:0021798: forebrain dorsal/ventral pattern formation, GO:0021877: forebrain neuron fate commitment, GO:0021877: forebrain neuron fate commitment, GO:0021879: forebrain neuron differentiation, GO:0021892: cerebral cortex GABAergic interneuron differentiation, GO:0021895: cerebral cortex neuron differentiation, GO:0021895: cerebral cortex neuron differentiation, GO:0021983: pituitary gland development, GO:0022029: telencephalon cell migration, GO:0030324: lung development, GO:0030324: lung development, GO:0030324: lung development, GO:0030336: negative regulation of cell migration, GO:0030512: negative regulation of transforming growth factor beta receptor signaling pathway, GO:0030878: thyroid gland development, GO:0030878: thyroid gland development, GO:0030878: thyroid gland development, GO:0031128: developmental induction, GO:0032496: response to lipopolysaccharide, GO:0033327: Leydig cell differentiation, GO:0042538: hyperosmotic salinity response, GO:0042696: menarche, GO:0043565: sequence-specific DNA binding, GO:0043565: sequence-specific DNA binding, GO:0044212: transcription regulatory region DNA binding, GO:0044212: transcription regulatory region DNA binding, GO:0045893: positive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GO:0048646: anatomical structure formation involved in morphogenesis, GO:0048663: neuron fate commitment, GO:0048709: oligodendrocyte differentiation, GO:0060430: lung saccule development, GO:0060486: Clara cell differentiation, GO:0060510: Type II pneumocyte differentiation</t>
  </si>
  <si>
    <t>GO:0005509: calcium ion binding, GO:0005515: protein binding, GO:0005576: extracellular region, GO:0005578: proteinaceous extracellular matrix, GO:0005578: proteinaceous extracellular matrix, GO:0015288: porin activity, GO:0030282: bone mineralization, GO:0030512: negative regulation of transforming growth factor beta receptor signaling pathway, GO:0030512: negative regulation of transforming growth factor beta receptor signaling pathway, GO:0031214: biomineral tissue development, GO:0046930: pore complex, GO:0055085: transmembrane transport, GO:0070171: negative regulation of tooth mineralization</t>
  </si>
  <si>
    <t>433256_at</t>
  </si>
  <si>
    <t>acyl-CoA synthetase long-chain family member 5</t>
  </si>
  <si>
    <t>GO:0000166: nucleotide binding, GO:0001676: long-chain fatty acid metabolic process, GO:0003824: catalytic activity, GO:0004467: long-chain fatty acid-CoA ligase activity, GO:0005524: ATP binding, GO:0005739: mitochondrion, GO:0005739: mitochondrion, GO:0005741: mitochondrial outer membrane, GO:0005743: mitochondrial inner membrane, GO:0005783: endoplasmic reticulum, GO:0006629: lipid metabolic process, GO:0006631: fatty acid metabolic process, GO:0008152: metabolic process, GO:0008654: phospholipid biosynthetic process, GO:0010747: positive regulation of plasma membrane long-chain fatty acid transport, GO:0010867: positive regulation of triglyceride biosynthetic process, GO:0015908: fatty acid transport, GO:0016020: membrane, GO:0016021: integral to membrane, GO:0016874: ligase activity, GO:0032000: positive regulation of fatty acid beta-oxidation, GO:0042981: regulation of apoptotic process</t>
  </si>
  <si>
    <t>52829_at</t>
  </si>
  <si>
    <t>DNA segment, Chr 4, Brigham &amp; Women's Genetics 0951 expressed</t>
  </si>
  <si>
    <t>20230_at</t>
  </si>
  <si>
    <t>special AT-rich sequence binding protein 1</t>
  </si>
  <si>
    <t>GO:0000122: negative regulation of transcription from RNA polymerase II promoter, GO:0000122: negative regulation of transcription from RNA polymerase II promoter, GO:0000785: chromatin, GO:0003677: DNA binding, GO:0003682: chromatin binding, GO:0003700: sequence-specific DNA binding transcription factor activity, GO:0005634: nucleus, GO:0005720: nuclear heterochromatin, GO:0006325: chromatin organization, GO:0006338: chromatin remodeling, GO:0006351: transcription, DNA-dependent, GO:0006355: regulation of transcription, DNA-dependent, GO:0008544: epidermis development, GO:0016363: nuclear matrix, GO:0016568: chromatin modification, GO:0016571: histone methylation, GO:0016605: PML body, GO:0042110: T cell activation, GO:0043367: CD4-positive, alpha-beta T cell differentiation, GO:0043374: CD8-positive, alpha-beta T cell differentiation, GO:0043565: sequence-specific DNA binding, GO:0050798: activated T cell proliferation, GO:0060004: reflex</t>
  </si>
  <si>
    <t>15114_at</t>
  </si>
  <si>
    <t>huntingtin-associated protein 1</t>
  </si>
  <si>
    <t>GO:0005102: receptor binding, GO:0005515: protein binding, GO:0005622: intracellular, GO:0008104: protein localization, GO:0010976: positive regulation of neuron projection development, GO:0016023: cytoplasmic membrane-bounded vesicle, GO:0019904: protein domain specific binding, GO:0030425: dendrite, GO:0030426: growth cone, GO:0043005: neuron projection, GO:0043679: axon terminus, GO:0047496: vesicle transport along microtubule, GO:0048471: perinuclear region of cytoplasm</t>
  </si>
  <si>
    <t>05016: Huntington's disease</t>
  </si>
  <si>
    <t>232146_at</t>
  </si>
  <si>
    <t>family with sequence similarity 176, member A</t>
  </si>
  <si>
    <t>GO:0003674: molecular_function, GO:0005886: plasma membrane, GO:0008150: biological_process, GO:0043231: intracellular membrane-bounded organelle</t>
  </si>
  <si>
    <t>99586_at</t>
  </si>
  <si>
    <t>dihydropyrimidine dehydrogenase</t>
  </si>
  <si>
    <t>66695_at</t>
  </si>
  <si>
    <t>asporin</t>
  </si>
  <si>
    <t>GO:0000166: nucleotide binding, GO:0002058: uracil binding, GO:0003824: catalytic activity, GO:0004152: dihydroorotate dehydrogenase activity, GO:0004158: dihydroorotate oxidase activity, GO:0005737: cytoplasm, GO:0005829: cytosol, GO:0005829: cytosol, GO:0006145: purine nucleobase catabolic process, GO:0006208: pyrimidine nucleobase catabolic process, GO:0006208: pyrimidine nucleobase catabolic process, GO:0006210: thymine catabolic process, GO:0006212: uracil catabolic process, GO:0006214: thymidine catabolic process, GO:0006222: UMP biosynthetic process, GO:0007584: response to nutrient, GO:0007623: circadian rhythm, GO:0009055: electron carrier activity, GO:0016491: oxidoreductase activity, GO:0017113: dihydropyrimidine dehydrogenase (NADP+) activity, GO:0017113: dihydropyrimidine dehydrogenase (NADP+) activity, GO:0019860: uracil metabolic process, GO:0042493: response to drug, GO:0042803: protein homodimerization activity, GO:0046872: metal ion binding, GO:0050661: NADP binding, GO:0051536: iron-sulfur cluster binding, GO:0051539: 4 iron, 4 sulfur cluster binding, GO:0055114: oxidation-reduction process</t>
  </si>
  <si>
    <t>00240: Pyrimidine metabolism, 00410: beta-Alanine metabolism, 00770: Pantothenate and CoA biosynthesis, 00983: Drug metabolism - other enzymes, 01100: Metabolic pathways</t>
  </si>
  <si>
    <t>13869_at</t>
  </si>
  <si>
    <t>v-erb-a erythroblastic leukemia viral oncogene homolog 4 (avian)</t>
  </si>
  <si>
    <t>GO:0000166: nucleotide binding, GO:0001755: neural crest cell migration, GO:0004672: protein kinase activity, GO:0004713: protein tyrosine kinase activity, GO:0004714: transmembrane receptor protein tyrosine kinase activity, GO:0004716: receptor signaling protein tyrosine kinase activity, GO:0005154: epidermal growth factor receptor binding, GO:0005515: protein binding, GO:0005524: ATP binding, GO:0005634: nucleus, GO:0005737: cytoplasm, GO:0005739: mitochondrion, GO:0005886: plasma membrane, GO:0005901: caveola, GO:0006351: transcription, DNA-dependent, GO:0006355: regulation of transcription, DNA-dependent, GO:0006468: protein phosphorylation, GO:0006915: apoptotic process, GO:0007165: signal transduction, GO:0007169: transmembrane receptor protein tyrosine kinase signaling pathway, GO:0007275: multicellular organismal development, GO:0007399: nervous system development, GO:0007507: heart development, GO:0007595: lactation, GO:0007595: lactation, GO:0008284: positive regulation of cell proliferation, GO:0008285: negative regulation of cell proliferation, GO:0009880: embryonic pattern specification, GO:0014069: postsynaptic density, GO:0016020: membrane, GO:0016021: integral to membrane, GO:0016301: kinase activity, GO:0016310: phosphorylation, GO:0016323: basolateral plasma membrane, GO:0016477: cell migration, GO:0016740: transferase activity, GO:0016772: transferase activity, transferring phosphorus-containing groups, GO:0018108: peptidyl-tyrosine phosphorylation, GO:0021551: central nervous system morphogenesis, GO:0021889: olfactory bulb interneuron differentiation, GO:0030334: regulation of cell migration, GO:0030335: positive regulation of cell migration, GO:0032230: positive regulation of synaptic transmission, GABAergic, GO:0042523: positive regulation of tyrosine phosphorylation of Stat5 protein, GO:0042523: positive regulation of tyrosine phosphorylation of Stat5 protein, GO:0042803: protein homodimerization activity, GO:0043066: negative regulation of apoptotic process, GO:0043129: surfactant homeostasis, GO:0043552: positive regulation of phosphatidylinositol 3-kinase activity, GO:0044212: transcription regulatory region DNA binding, GO:0045121: membrane raft, GO:0045165: cell fate commitment, GO:0045768: positive regulation of anti-apoptosis, GO:0045893: positive regulation of transcription, DNA-dependent, GO:0045893: positive regulation of transcription, DNA-dependent, GO:0046326: positive regulation of glucose import, GO:0046777: protein autophosphorylation, GO:0050679: positive regulation of epithelial cell proliferation, GO:0060045: positive regulation of cardiac muscle cell proliferation, GO:0060074: synapse maturation, GO:0060644: mammary gland epithelial cell differentiation, GO:0060749: mammary gland alveolus development, GO:0061026: cardiac muscle tissue regeneration, GO:0070374: positive regulation of ERK1 and ERK2 cascade, GO:2000366: positive regulation of STAT protein import into nucleus, GO:2000366: positive regulation of STAT protein import into nucleus</t>
  </si>
  <si>
    <t>GO:0000122: negative regulation of transcription from RNA polymerase II promoter, GO:0000122: negative regulation of transcription from RNA polymerase II promoter, GO:0001829: trophectodermal cell differentiation, GO:0001829: trophectodermal cell differentiation, GO:0003677: DNA binding, GO:0003700: sequence-specific DNA binding transcription factor activity, GO:0005515: protein binding, GO:0005634: nucleus, GO:0005634: nucleus, GO:0005737: cytoplasm, GO:0006351: transcription, DNA-dependent, GO:0006355: regulation of transcription, DNA-dependent, GO:0007275: multicellular organismal development, GO:0007507: heart development, GO:0008016: regulation of heart contraction, GO:0016575: histone deacetylation, GO:0043415: positive regulation of skeletal muscle tissue regeneration, GO:0043565: sequence-specific DNA binding, GO:0045596: negative regulation of cell differentiation, GO:0048286: lung alveolus development, GO:0051155: positive regulation of striated muscle cell differentiation</t>
  </si>
  <si>
    <t>17156_at</t>
  </si>
  <si>
    <t>mannosidase, alpha, class 1A, member 2</t>
  </si>
  <si>
    <t>GO:0000139: Golgi membrane, GO:0004571: mannosyl-oligosaccharide 1,2-alpha-mannosidase activity, GO:0005509: calcium ion binding, GO:0005730: nucleolus, GO:0005794: Golgi apparatus, GO:0007585: respiratory gaseous exchange, GO:0008152: metabolic process, GO:0009100: glycoprotein metabolic process, GO:0016020: membrane, GO:0016021: integral to membrane, GO:0016787: hydrolase activity, GO:0016798: hydrolase activity, acting on glycosyl bonds, GO:0048286: lung alveolus development</t>
  </si>
  <si>
    <t>00510: N-Glycan biosynthesis, 01100: Metabolic pathways, 04141: Protein processing in endoplasmic reticulum</t>
  </si>
  <si>
    <t>102103_at</t>
  </si>
  <si>
    <t>mitochondrial tumor suppressor 1</t>
  </si>
  <si>
    <t>GO:0003674: molecular_function, GO:0005575: cellular_component, GO:0005634: nucleus, GO:0005739: mitochondrion, GO:0005794: Golgi apparatus, GO:0005886: plasma membrane, GO:0007049: cell cycle, GO:0008150: biological_process, GO:0016020: membrane</t>
  </si>
  <si>
    <t>231549_at</t>
  </si>
  <si>
    <t>leucine rich repeat containing 8D</t>
  </si>
  <si>
    <t>GO:0001501: skeletal system development, GO:0005509: calcium ion binding, GO:0005576: extracellular region, GO:0005578: proteinaceous extracellular matrix, GO:0007179: transforming growth factor beta receptor signaling pathway, GO:0007179: transforming growth factor beta receptor signaling pathway, GO:0019838: growth factor binding, GO:0030502: negative regulation of bone mineralization, GO:0032331: negative regulation of chondrocyte differentiation, GO:0045780: positive regulation of bone resorption, GO:0046849: bone remodeling, GO:0060349: bone morphogenesis, GO:0060430: lung saccule development</t>
  </si>
  <si>
    <t>74318_at</t>
  </si>
  <si>
    <t>HOP homeobox</t>
  </si>
  <si>
    <t>GO:0000166: nucleotide binding, GO:0001764: neuron migration, GO:0003824: catalytic activity, GO:0004672: protein kinase activity, GO:0004674: protein serine/threonine kinase activity, GO:0004692: cGMP-dependent protein kinase activity, GO:0004692: cGMP-dependent protein kinase activity, GO:0005246: calcium channel regulator activity, GO:0005515: protein binding, GO:0005524: ATP binding, GO:0005737: cytoplasm, GO:0005794: Golgi apparatus, GO:0005886: plasma membrane, GO:0005886: plasma membrane, GO:0005886: plasma membrane, GO:0006468: protein phosphorylation, GO:0006468: protein phosphorylation, GO:0007165: signal transduction, GO:0008152: metabolic process, GO:0016301: kinase activity, GO:0016310: phosphorylation, GO:0016358: dendrite development, GO:0016740: transferase activity, GO:0016772: transferase activity, transferring phosphorus-containing groups, GO:0030553: cGMP binding, GO:0030900: forebrain development, GO:0043087: regulation of GTPase activity, GO:0090331: negative regulation of platelet aggregation</t>
  </si>
  <si>
    <t>GO:0001525: angiogenesis, GO:0001569: patterning of blood vessels, GO:0001953: negative regulation of cell-matrix adhesion, GO:0002040: sprouting angiogenesis, GO:0004872: receptor activity, GO:0005576: extracellular region, GO:0007275: multicellular organismal development, GO:0007399: nervous system development, GO:0008360: regulation of cell shape, GO:0016020: membrane, GO:0016525: negative regulation of angiogenesis, GO:0030154: cell differentiation, GO:0050808: synapse organization, GO:0071526: semaphorin-plexin signaling pathway, GO:2000249: regulation of actin cytoskeleton reorganization</t>
  </si>
  <si>
    <t>99526_at</t>
  </si>
  <si>
    <t>ubiquitin specific peptidase 53</t>
  </si>
  <si>
    <t>GO:0005783: endoplasmic reticulum, GO:0016020: membrane, GO:0016021: integral to membrane</t>
  </si>
  <si>
    <t>234353_at</t>
  </si>
  <si>
    <t>pleckstrin and Sec7 domain containing 3</t>
  </si>
  <si>
    <t>GO:0005085: guanyl-nucleotide exchange factor activity, GO:0005086: ARF guanyl-nucleotide exchange factor activity, GO:0005543: phospholipid binding, GO:0005622: intracellular, GO:0005886: plasma membrane, GO:0016020: membrane, GO:0030054: cell junction, GO:0030182: neuron differentiation, GO:0032011: ARF protein signal transduction, GO:0032012: regulation of ARF protein signal transduction, GO:0045202: synapse, GO:0045211: postsynaptic membrane, GO:0050790: regulation of catalytic activity</t>
  </si>
  <si>
    <t>328329_at</t>
  </si>
  <si>
    <t>microtubule associated serine/threonine kinase family member 4</t>
  </si>
  <si>
    <t>19091_at</t>
  </si>
  <si>
    <t>protein kinase, cGMP-dependent, type I</t>
  </si>
  <si>
    <t>433926_at</t>
  </si>
  <si>
    <t>leucine rich repeat containing 8 family, member B</t>
  </si>
  <si>
    <t>239435_at</t>
  </si>
  <si>
    <t>alanine and arginine rich domain containing protein</t>
  </si>
  <si>
    <t>16998_at</t>
  </si>
  <si>
    <t>latent transforming growth factor beta binding protein 3</t>
  </si>
  <si>
    <t>GO:0005096: GTPase activator activity, GO:0005096: GTPase activator activity, GO:0005515: protein binding, GO:0005634: nucleus, GO:0005737: cytoplasm, GO:0005829: cytosol, GO:0005886: plasma membrane, GO:0005886: plasma membrane, GO:0006417: regulation of translation, GO:0007049: cell cycle, GO:0007186: G-protein coupled receptor signaling pathway, GO:0009898: internal side of plasma membrane, GO:0009898: internal side of plasma membrane, GO:0009968: negative regulation of signal transduction, GO:0010519: negative regulation of phospholipase activity, GO:0010614: negative regulation of cardiac muscle hypertrophy, GO:0016020: membrane, GO:0038032: termination of G-protein coupled receptor signaling pathway, GO:0043407: negative regulation of MAP kinase activity, GO:0043547: positive regulation of GTPase activity, GO:0043547: positive regulation of GTPase activity, GO:0045744: negative regulation of G-protein coupled receptor protein signaling pathway, GO:0050873: brown fat cell differentiation, GO:0055119: relaxation of cardiac muscle, GO:0060087: relaxation of vascular smooth muscle, GO:0060452: positive regulation of cardiac muscle contraction, GO:0071877: regulation of adrenergic receptor signaling pathway</t>
  </si>
  <si>
    <t>11305_at</t>
  </si>
  <si>
    <t>ATP-binding cassette, sub-family A (ABC1), member 2</t>
  </si>
  <si>
    <t>04270: Vascular smooth muscle contraction, 04540: Gap junction, 04730: Long-term depression, 04740: Olfactory transduction, 04970: Salivary secretion</t>
  </si>
  <si>
    <t>20349_at</t>
  </si>
  <si>
    <t>sema domain, immunoglobulin domain (Ig), short basic domain, secreted, (semaphorin) 3E</t>
  </si>
  <si>
    <t>GO:0005068: transmembrane receptor protein tyrosine kinase adaptor activity, GO:0005622: intracellular, GO:0005737: cytoplasm, GO:0005886: plasma membrane, GO:0007169: transmembrane receptor protein tyrosine kinase signaling pathway, GO:0007229: integrin-mediated signaling pathway, GO:0008284: positive regulation of cell proliferation, GO:0009967: positive regulation of signal transduction, GO:0016477: cell migration, GO:0019904: protein domain specific binding, GO:0030316: osteoclast differentiation, GO:0035556: intracellular signal transduction, GO:0043234: protein complex</t>
  </si>
  <si>
    <t>04380: Osteoclast differentiation, 04664: Fc epsilon RI signaling pathway, 04666: Fc gamma R-mediated phagocytosis, 05220: Chronic myeloid leukemia</t>
  </si>
  <si>
    <t>11980_at</t>
  </si>
  <si>
    <t>ATPase, aminophospholipid transporter (APLT), class I, type 8A, member 1</t>
  </si>
  <si>
    <t>GO:0001540: beta-amyloid binding, GO:0005576: extracellular region, GO:0005581: collagen, GO:0005615: extracellular space, GO:0005887: integral to plasma membrane, GO:0008150: biological_process, GO:0008201: heparin binding</t>
  </si>
  <si>
    <t>19735_at</t>
  </si>
  <si>
    <t>regulator of G-protein signaling 2</t>
  </si>
  <si>
    <t>GO:0000166: nucleotide binding, GO:0000287: magnesium ion binding, GO:0004672: protein kinase activity, GO:0004674: protein serine/threonine kinase activity, GO:0005524: ATP binding, GO:0005575: cellular_component, GO:0005737: cytoplasm, GO:0006468: protein phosphorylation, GO:0016301: kinase activity, GO:0016310: phosphorylation, GO:0016740: transferase activity, GO:0016772: transferase activity, transferring phosphorus-containing groups, GO:0046872: metal ion binding</t>
  </si>
  <si>
    <t>77018_at</t>
  </si>
  <si>
    <t>collagen, type XXV, alpha 1</t>
  </si>
  <si>
    <t>GO:0000166: nucleotide binding, GO:0005524: ATP binding, GO:0005764: lysosome, GO:0005765: lysosomal membrane, GO:0005768: endosome, GO:0005815: microtubule organizing center, GO:0006200: ATP catabolic process, GO:0006357: regulation of transcription from RNA polymerase II promoter, GO:0008203: cholesterol metabolic process, GO:0016021: integral to membrane, GO:0016023: cytoplasmic membrane-bounded vesicle, GO:0016887: ATPase activity, GO:0032383: regulation of intracellular cholesterol transport</t>
  </si>
  <si>
    <t>02010: ABC transporters, 04142: Lysosome</t>
  </si>
  <si>
    <t>235472_at</t>
  </si>
  <si>
    <t>protogenin homolog (Gallus gallus)</t>
  </si>
  <si>
    <t>GO:0007275: multicellular organismal development, GO:0016020: membrane, GO:0016021: integral to membrane</t>
  </si>
  <si>
    <t>219134_at</t>
  </si>
  <si>
    <t>shisa homolog 2 (Xenopus laevis)</t>
  </si>
  <si>
    <t>GO:0005783: endoplasmic reticulum, GO:0007275: multicellular organismal development, GO:0016020: membrane, GO:0016021: integral to membrane</t>
  </si>
  <si>
    <t>14389_at</t>
  </si>
  <si>
    <t>growth factor receptor bound protein 2-associated protein 2</t>
  </si>
  <si>
    <t>GO:0003674: molecular_function, GO:0004221: ubiquitin thiolesterase activity, GO:0005575: cellular_component, GO:0006511: ubiquitin-dependent protein catabolic process, GO:0008150: biological_process</t>
  </si>
  <si>
    <t>24059_at</t>
  </si>
  <si>
    <t>solute carrier organic anion transporter family, member 2a1</t>
  </si>
  <si>
    <t>GO:0005215: transporter activity, GO:0005886: plasma membrane, GO:0005887: integral to plasma membrane, GO:0006810: transport, GO:0015132: prostaglandin transmembrane transporter activity, GO:0015732: prostaglandin transport, GO:0016020: membrane, GO:0016021: integral to membrane</t>
  </si>
  <si>
    <t>100604_at</t>
  </si>
  <si>
    <t>leucine rich repeat containing 8 family, member C</t>
  </si>
  <si>
    <t>GO:0000166: nucleotide binding, GO:0000287: magnesium ion binding, GO:0004012: phospholipid-translocating ATPase activity, GO:0005524: ATP binding, GO:0005783: endoplasmic reticulum, GO:0005886: plasma membrane, GO:0006200: ATP catabolic process, GO:0006812: cation transport, GO:0008152: metabolic process, GO:0015662: ATPase activity, coupled to transmembrane movement of ions, phosphorylative mechanism, GO:0015914: phospholipid transport, GO:0016020: membrane, GO:0016021: integral to membrane, GO:0016787: hydrolase activity, GO:0016820: hydrolase activity, acting on acid anhydrides, catalyzing transmembrane movement of substances, GO:0031410: cytoplasmic vesicle, GO:0034220: ion transmembrane transport, GO:0046872: metal ion binding, GO:0055085: transmembrane transport</t>
  </si>
  <si>
    <t>19716_at</t>
  </si>
  <si>
    <t>brain expressed gene 1</t>
  </si>
  <si>
    <t>GO:0004143: diacylglycerol kinase activity, GO:0005622: intracellular, GO:0005886: plasma membrane, GO:0006979: response to oxidative stress, GO:0016301: kinase activity, GO:0016310: phosphorylation, GO:0035556: intracellular signal transduction, GO:0046339: diacylglycerol metabolic process</t>
  </si>
  <si>
    <t>107765_at</t>
  </si>
  <si>
    <t>ankyrin repeat domain 1 (cardiac muscle)</t>
  </si>
  <si>
    <t>GO:0001102: RNA polymerase II activating transcription factor binding, GO:0002052: positive regulation of neuroblast proliferation, GO:0005515: protein binding, GO:0005634: nucleus, GO:0005634: nucleus, GO:0005667: transcription factor complex, GO:0005737: cytoplasm, GO:0005737: cytoplasm, GO:0007275: multicellular organismal development, GO:0007399: nervous system development, GO:0030154: cell differentiation, GO:0045665: negative regulation of neuron differentiation, GO:0045944: positive regulation of transcription from RNA polymerase II promoter, GO:0048011: nerve growth factor receptor signaling pathway, GO:0051091: positive regulation of sequence-specific DNA binding transcription factor activity</t>
  </si>
  <si>
    <t>320129_at</t>
  </si>
  <si>
    <t>adrenergic receptor kinase, beta 2</t>
  </si>
  <si>
    <t>GO:0000166: nucleotide binding, GO:0001934: positive regulation of protein phosphorylation, GO:0002029: desensitization of G-protein coupled receptor protein signaling pathway, GO:0004672: protein kinase activity, GO:0004674: protein serine/threonine kinase activity, GO:0004703: G-protein coupled receptor kinase activity, GO:0004703: G-protein coupled receptor kinase activity, GO:0005524: ATP binding, GO:0005543: phospholipid binding, GO:0005622: intracellular, GO:0005634: nucleus, GO:0005829: cytosol, GO:0005929: cilium, GO:0006468: protein phosphorylation, GO:0006886: intracellular protein transport, GO:0007165: signal transduction, GO:0016301: kinase activity, GO:0016310: phosphorylation, GO:0016740: transferase activity, GO:0016772: transferase activity, transferring phosphorus-containing groups, GO:0030018: Z disc, GO:0030424: axon, GO:0031623: receptor internalization, GO:0031748: D1 dopamine receptor binding, GO:0038032: termination of G-protein coupled receptor signaling pathway, GO:0043197: dendritic spine, GO:0043198: dendritic shaft, GO:0043647: inositol phosphate metabolic process, GO:0044292: dendrite terminus, GO:0044442: microtubule-based flagellum part, GO:0045202: synapse, GO:0046154: rhodopsin metabolic process, GO:0047696: beta-adrenergic receptor kinase activity, GO:0048471: perinuclear region of cytoplasm</t>
  </si>
  <si>
    <t>04740: Olfactory transduction</t>
  </si>
  <si>
    <t>19270_at</t>
  </si>
  <si>
    <t>protein tyrosine phosphatase, receptor type, G</t>
  </si>
  <si>
    <t>GO:0004721: phosphoprotein phosphatase activity, GO:0004725: protein tyrosine phosphatase activity, GO:0005615: extracellular space, GO:0006470: protein dephosphorylation, GO:0010977: negative regulation of neuron projection development, GO:0016020: membrane, GO:0016021: integral to membrane, GO:0016311: dephosphorylation, GO:0016787: hydrolase activity, GO:0016791: phosphatase activity, GO:0035335: peptidyl-tyrosine dephosphorylation, GO:0042802: identical protein binding</t>
  </si>
  <si>
    <t>331374_at</t>
  </si>
  <si>
    <t>diacylglycerol kinase kappa</t>
  </si>
  <si>
    <t>GO:0000122: negative regulation of transcription from RNA polymerase II promoter, GO:0001085: RNA polymerase II transcription factor binding, GO:0001105: RNA polymerase II transcription coactivator activity, GO:0002039: p53 binding, GO:0003677: DNA binding, GO:0003714: transcription corepressor activity, GO:0005515: protein binding, GO:0005634: nucleus, GO:0005634: nucleus, GO:0005667: transcription factor complex, GO:0005737: cytoplasm, GO:0005737: cytoplasm, GO:0005829: cytosol, GO:0006357: regulation of transcription from RNA polymerase II promoter, GO:0008134: transcription factor binding, GO:0010976: positive regulation of neuron projection development, GO:0030016: myofibril, GO:0031432: titin binding, GO:0031432: titin binding, GO:0031674: I band, GO:0031674: I band, GO:0035690: cellular response to drug, GO:0035994: response to muscle stretch, GO:0042826: histone deacetylase binding, GO:0043065: positive regulation of apoptotic process, GO:0043517: positive regulation of DNA damage response, signal transduction by p53 class mediator, GO:0044444: cytoplasmic part, GO:0045944: positive regulation of transcription from RNA polymerase II promoter, GO:0050714: positive regulation of protein secretion, GO:0055008: cardiac muscle tissue morphogenesis, GO:0070412: R-SMAD binding, GO:0071222: cellular response to lipopolysaccharide, GO:0071222: cellular response to lipopolysaccharide, GO:0071260: cellular response to mechanical stimulus, GO:0071347: cellular response to interleukin-1, GO:0071356: cellular response to tumor necrosis factor, GO:0071560: cellular response to transforming growth factor beta stimulus, GO:2000279: negative regulation of DNA biosynthetic process</t>
  </si>
  <si>
    <t>68895_at</t>
  </si>
  <si>
    <t>RAS-like, family 11, member A</t>
  </si>
  <si>
    <t>GO:0000166: nucleotide binding, GO:0003924: GTPase activity, GO:0005515: protein binding, GO:0005525: GTP binding, GO:0005634: nucleus, GO:0005730: nucleolus, GO:0006184: GTP catabolic process, GO:0006351: transcription, DNA-dependent, GO:0006355: regulation of transcription, DNA-dependent, GO:0007165: signal transduction, GO:0007264: small GTPase mediated signal transduction, GO:0016020: membrane, GO:0045943: positive regulation of transcription from RNA polymerase I promoter</t>
  </si>
  <si>
    <t>27428_at</t>
  </si>
  <si>
    <t>shroom family member 3</t>
  </si>
  <si>
    <t>GO:0000902: cell morphogenesis, GO:0001843: neural tube closure, GO:0002066: columnar/cuboidal epithelial cell development, GO:0003779: actin binding, GO:0005737: cytoplasm, GO:0005856: cytoskeleton, GO:0005874: microtubule, GO:0005912: adherens junction, GO:0007275: multicellular organismal development, GO:0007389: pattern specification process, GO:0008360: regulation of cell shape, GO:0016324: apical plasma membrane, GO:0030036: actin cytoskeleton organization, GO:0030054: cell junction, GO:0043296: apical junction complex, GO:0045177: apical part of cell</t>
  </si>
  <si>
    <t>268977_at</t>
  </si>
  <si>
    <t>latent transforming growth factor beta binding protein 1</t>
  </si>
  <si>
    <t>GO:0005509: calcium ion binding, GO:0005576: extracellular region, GO:0005578: proteinaceous extracellular matrix, GO:0007179: transforming growth factor beta receptor signaling pathway, GO:0019838: growth factor binding</t>
  </si>
  <si>
    <t>231470_at</t>
  </si>
  <si>
    <t>Fraser syndrome 1 homolog (human)</t>
  </si>
  <si>
    <t>GO:0002009: morphogenesis of an epithelium, GO:0005515: protein binding, GO:0005604: basement membrane, GO:0005886: plasma membrane, GO:0007154: cell communication, GO:0015031: protein transport, GO:0016020: membrane, GO:0016021: integral to membrane, GO:0043588: skin development, GO:0046872: metal ion binding</t>
  </si>
  <si>
    <t>13518_at</t>
  </si>
  <si>
    <t>dystonin</t>
  </si>
  <si>
    <t>GO:0000226: microtubule cytoskeleton organization, GO:0001725: stress fiber, GO:0003779: actin binding, GO:0005178: integrin binding, GO:0005509: calcium ion binding, GO:0005515: protein binding, GO:0005622: intracellular, GO:0005634: nucleus, GO:0005634: nucleus, GO:0005635: nuclear envelope, GO:0005737: cytoplasm, GO:0005737: cytoplasm, GO:0005783: endoplasmic reticulum, GO:0005789: endoplasmic reticulum membrane, GO:0005856: cytoskeleton, GO:0005874: microtubule, GO:0005882: intermediate filament, GO:0005886: plasma membrane, GO:0005925: focal adhesion, GO:0007010: cytoskeleton organization, GO:0007050: cell cycle arrest, GO:0007155: cell adhesion, GO:0007409: axonogenesis, GO:0008017: microtubule binding, GO:0008022: protein C-terminus binding, GO:0008090: retrograde axon cargo transport, GO:0009611: response to wounding, GO:0009898: internal side of plasma membrane, GO:0014704: intercalated disc, GO:0015629: actin cytoskeleton, GO:0015629: actin cytoskeleton, GO:0015630: microtubule cytoskeleton, GO:0015630: microtubule cytoskeleton, GO:0016020: membrane, GO:0016021: integral to membrane, GO:0016023: cytoplasmic membrane-bounded vesicle, GO:0030011: maintenance of cell polarity, GO:0030018: Z disc, GO:0030018: Z disc, GO:0030054: cell junction, GO:0030056: hemidesmosome, GO:0030056: hemidesmosome, GO:0031110: regulation of microtubule polymerization or depolymerization, GO:0031122: cytoplasmic microtubule organization, GO:0031252: cell leading edge, GO:0031581: hemidesmosome assembly, GO:0031673: H zone, GO:0033267: axon part, GO:0035371: microtubule plus end, GO:0042383: sarcolemma, GO:0042803: protein homodimerization activity, GO:0042803: protein homodimerization activity, GO:0042995: cell projection, GO:0045111: intermediate filament cytoskeleton, GO:0046907: intracellular transport, GO:0048471: perinuclear region of cytoplasm, GO:0048870: cell motility, GO:0051010: microtubule plus-end binding, GO:0060053: neurofilament cytoskeleton, GO:0097038: perinuclear endoplasmic reticulum</t>
  </si>
  <si>
    <t>54725_at</t>
  </si>
  <si>
    <t>cell adhesion molecule 1</t>
  </si>
  <si>
    <t>GO:0001889: liver development, GO:0005102: receptor binding, GO:0005102: receptor binding, GO:0005515: protein binding, GO:0005886: plasma membrane, GO:0005886: plasma membrane, GO:0005911: cell-cell junction, GO:0006915: apoptotic process, GO:0007155: cell adhesion, GO:0007156: homophilic cell adhesion, GO:0007157: heterophilic cell-cell adhesion, GO:0007275: multicellular organismal development, GO:0007283: spermatogenesis, GO:0007416: synapse assembly, GO:0008021: synaptic vesicle, GO:0008022: protein C-terminus binding, GO:0008037: cell recognition, GO:0008037: cell recognition, GO:0009826: unidimensional cell growth, GO:0016020: membrane, GO:0016021: integral to membrane, GO:0016323: basolateral plasma membrane, GO:0016338: calcium-independent cell-cell adhesion, GO:0030054: cell junction, GO:0030154: cell differentiation, GO:0030165: PDZ domain binding, GO:0030424: axon, GO:0030425: dendrite, GO:0042271: susceptibility to natural killer cell mediated cytotoxicity, GO:0042271: susceptibility to natural killer cell mediated cytotoxicity, GO:0042803: protein homodimerization activity, GO:0045202: synapse, GO:0045954: positive regulation of natural killer cell mediated cytotoxicity, GO:0045954: positive regulation of natural killer cell mediated cytotoxicity, GO:0050715: positive regulation of cytokine secretion, GO:0050839: cell adhesion molecule binding, GO:0051606: detection of stimulus, GO:0051606: detection of stimulus</t>
  </si>
  <si>
    <t>12111_at</t>
  </si>
  <si>
    <t>biglycan</t>
  </si>
  <si>
    <t>GO:0005539: glycosaminoglycan binding, GO:0005576: extracellular region, GO:0005578: proteinaceous extracellular matrix, GO:0009986: cell surface, GO:0019800: peptide cross-linking via chondroitin 4-sulfate glycosaminoglycan, GO:0030133: transport vesicle, GO:0031012: extracellular matrix, GO:0042383: sarcolemma, GO:0044424: intracellular part, GO:0050840: extracellular matrix binding</t>
  </si>
  <si>
    <t>19737_at</t>
  </si>
  <si>
    <t>regulator of G-protein signaling 5</t>
  </si>
  <si>
    <t>GO:0005096: GTPase activator activity, GO:0005096: GTPase activator activity, GO:0005737: cytoplasm, GO:0005737: cytoplasm, GO:0005886: plasma membrane, GO:0007165: signal transduction, GO:0007186: G-protein coupled receptor signaling pathway, GO:0009968: negative regulation of signal transduction, GO:0016020: membrane, GO:0038032: termination of G-protein coupled receptor signaling pathway, GO:0043547: positive regulation of GTPase activity, GO:0043547: positive regulation of GTPase activity</t>
  </si>
  <si>
    <t>100862094_at</t>
  </si>
  <si>
    <t>uncharacterized LOC100862094</t>
  </si>
  <si>
    <t>227541_at</t>
  </si>
  <si>
    <t>calcium/calmodulin-dependent protein kinase ID</t>
  </si>
  <si>
    <t>GO:0000166: nucleotide binding, GO:0003824: catalytic activity, GO:0004672: protein kinase activity, GO:0004674: protein serine/threonine kinase activity, GO:0004683: calmodulin-dependent protein kinase activity, GO:0005516: calmodulin binding, GO:0005524: ATP binding, GO:0005634: nucleus, GO:0005737: cytoplasm, GO:0006468: protein phosphorylation, GO:0006954: inflammatory response, GO:0007399: nervous system development, GO:0008152: metabolic process, GO:0010976: positive regulation of neuron projection development, GO:0016301: kinase activity, GO:0016310: phosphorylation, GO:0016740: transferase activity, GO:0016772: transferase activity, transferring phosphorus-containing groups, GO:0032793: positive regulation of CREB transcription factor activity, GO:0042981: regulation of apoptotic process, GO:0050766: positive regulation of phagocytosis, GO:0050773: regulation of dendrite development, GO:0060267: positive regulation of respiratory burst, GO:0071622: regulation of granulocyte chemotaxis, GO:0090023: positive regulation of neutrophil chemotaxis</t>
  </si>
  <si>
    <t>118449_at</t>
  </si>
  <si>
    <t>synaptopodin 2</t>
  </si>
  <si>
    <t>GO:0003779: actin binding, GO:0005515: protein binding, GO:0005634: nucleus, GO:0005634: nucleus, GO:0005737: cytoplasm, GO:0015629: actin cytoskeleton, GO:0030018: Z disc, GO:0030018: Z disc, GO:0051371: muscle alpha-actinin binding, GO:0071889: 14-3-3 protein binding</t>
  </si>
  <si>
    <t>54598_at</t>
  </si>
  <si>
    <t>GO:0001525: angiogenesis, GO:0001605: adrenomedullin receptor activity, GO:0001635: calcitonin gene-related polypeptide receptor activity, GO:0004871: signal transducer activity, GO:0004888: transmembrane signaling receptor activity, GO:0004930: G-protein coupled receptor activity, GO:0004948: calcitonin receptor activity, GO:0005764: lysosome, GO:0005768: endosome, GO:0005783: endoplasmic reticulum, GO:0005886: plasma membrane, GO:0006171: cAMP biosynthetic process, GO:0006816: calcium ion transport, GO:0006937: regulation of muscle contraction, GO:0007165: signal transduction, GO:0007166: cell surface receptor signaling pathway, GO:0007186: G-protein coupled receptor signaling pathway, GO:0007186: G-protein coupled receptor signaling pathway, GO:0007186: G-protein coupled receptor signaling pathway, GO:0007189: adenylate cyclase-activating G-protein coupled receptor signaling pathway, GO:0007507: heart development, GO:0008284: positive regulation of cell proliferation, GO:0008565: protein transporter activity, GO:0015031: protein transport, GO:0016020: membrane, GO:0016021: integral to membrane, GO:0030819: positive regulation of cAMP biosynthetic process, GO:0031623: receptor internalization, GO:0048661: positive regulation of smooth muscle cell proliferation, GO:0050728: negative regulation of inflammatory response, GO:0071329: cellular response to sucrose stimulus</t>
  </si>
  <si>
    <t>04080: Neuroactive ligand-receptor interaction, 04270: Vascular smooth muscle contraction</t>
  </si>
  <si>
    <t>29817_at</t>
  </si>
  <si>
    <t>insulin-like growth factor binding protein 7</t>
  </si>
  <si>
    <t>GO:0001558: regulation of cell growth, GO:0005520: insulin-like growth factor binding, GO:0005576: extracellular region, GO:0005615: extracellular space, GO:0007155: cell adhesion, GO:0019838: growth factor binding, GO:0048839: inner ear development, GO:0050810: regulation of steroid biosynthetic process</t>
  </si>
  <si>
    <t>19736_at</t>
  </si>
  <si>
    <t>regulator of G-protein signaling 4</t>
  </si>
  <si>
    <t>GO:0005096: GTPase activator activity, GO:0005096: GTPase activator activity, GO:0005737: cytoplasm, GO:0005737: cytoplasm, GO:0005829: cytosol, GO:0005886: plasma membrane, GO:0005886: plasma membrane, GO:0007186: G-protein coupled receptor signaling pathway, GO:0009968: negative regulation of signal transduction, GO:0038032: termination of G-protein coupled receptor signaling pathway, GO:0043547: positive regulation of GTPase activity, GO:0043547: positive regulation of GTPase activity</t>
  </si>
  <si>
    <t>13860_at</t>
  </si>
  <si>
    <t>epidermal growth factor receptor pathway substrate 8</t>
  </si>
  <si>
    <t>GO:0005515: protein binding, GO:0008344: adult locomotory behavior, GO:0014069: postsynaptic density, GO:0017146: N-methyl-D-aspartate selective glutamate receptor complex, GO:0031532: actin cytoskeleton reorganization, GO:0045202: synapse, GO:0048149: behavioral response to ethanol, GO:0051017: actin filament bundle assembly</t>
  </si>
  <si>
    <t>18212_at</t>
  </si>
  <si>
    <t>neurotrophic tyrosine kinase, receptor, type 2</t>
  </si>
  <si>
    <t>calcitonin receptor-like</t>
  </si>
  <si>
    <t>GO:0000166: nucleotide binding, GO:0001570: vasculogenesis, GO:0001764: neuron migration, GO:0004672: protein kinase activity, GO:0004713: protein tyrosine kinase activity, GO:0004714: transmembrane receptor protein tyrosine kinase activity, GO:0005030: neurotrophin receptor activity, GO:0005515: protein binding, GO:0005524: ATP binding, GO:0005623: cell, GO:0005768: endosome, GO:0005829: cytosol, GO:0005886: plasma membrane, GO:0005886: plasma membrane, GO:0005887: integral to plasma membrane, GO:0006468: protein phosphorylation, GO:0007169: transmembrane receptor protein tyrosine kinase signaling pathway, GO:0007275: multicellular organismal development, GO:0007399: nervous system development, GO:0007612: learning, GO:0007616: long-term memory, GO:0007631: feeding behavior, GO:0008284: positive regulation of cell proliferation, GO:0009986: cell surface, GO:0010628: positive regulation of gene expression, GO:0010976: positive regulation of neuron projection development, GO:0014047: glutamate secretion, GO:0014068: positive regulation of phosphatidylinositol 3-kinase cascade, GO:0014069: postsynaptic density, GO:0016020: membrane, GO:0016021: integral to membrane, GO:0016301: kinase activity, GO:0016310: phosphorylation, GO:0016740: transferase activity, GO:0016772: transferase activity, transferring phosphorus-containing groups, GO:0019222: regulation of metabolic process, GO:0021954: central nervous system neuron development, GO:0021987: cerebral cortex development, GO:0030154: cell differentiation, GO:0030182: neuron differentiation, GO:0030424: axon, GO:0030425: dendrite, GO:0030426: growth cone, GO:0031547: brain-derived neurotrophic factor receptor signaling pathway, GO:0031547: brain-derived neurotrophic factor receptor signaling pathway, GO:0032314: regulation of Rac GTPase activity, GO:0035584: calcium-mediated signaling using intracellular calcium source, GO:0042490: mechanoreceptor differentiation, GO:0042803: protein homodimerization activity, GO:0043025: neuronal cell body, GO:0043121: neurotrophin binding, GO:0043121: neurotrophin binding, GO:0043195: terminal button, GO:0043197: dendritic spine, GO:0043408: regulation of MAPK cascade, GO:0043410: positive regulation of MAPK cascade, GO:0043524: negative regulation of neuron apoptotic process, GO:0043679: axon terminus, GO:0046548: retinal rod cell development, GO:0046777: protein autophosphorylation, GO:0046875: ephrin receptor binding, GO:0046928: regulation of neurotransmitter secretion, GO:0048403: brain-derived neurotrophic factor binding, GO:0048403: brain-derived neurotrophic factor binding, GO:0048709: oligodendrocyte differentiation, GO:0048786: presynaptic active zone, GO:0048935: peripheral nervous system neuron development, GO:0050772: positive regulation of axonogenesis, GO:0050773: regulation of dendrite development, GO:0051896: regulation of protein kinase B signaling cascade, GO:0051968: positive regulation of synaptic transmission, glutamatergic, GO:0060076: excitatory synapse, GO:0060175: brain-derived neurotrophic factor-activated receptor activity, GO:0060175: brain-derived neurotrophic factor-activated receptor activity, GO:0060291: long-term synaptic potentiation, GO:2000811: negative regulation of anoikis</t>
  </si>
  <si>
    <t>GO:0001503: ossification, GO:0001558: regulation of cell growth, GO:0005520: insulin-like growth factor binding, GO:0005576: extracellular region, GO:0005578: proteinaceous extracellular matrix, GO:0005614: interstitial matrix, GO:0007275: multicellular organismal development, GO:0030154: cell differentiation, GO:0030198: extracellular matrix organization, GO:0031012: extracellular matrix</t>
  </si>
  <si>
    <t>70599_at</t>
  </si>
  <si>
    <t>sperm specific antigen 2</t>
  </si>
  <si>
    <t>GO:0005737: cytoplasm</t>
  </si>
  <si>
    <t>14132_at</t>
  </si>
  <si>
    <t>Fc receptor, IgG, alpha chain transporter</t>
  </si>
  <si>
    <t>GO:0005886: plasma membrane, GO:0006955: immune response, GO:0016020: membrane, GO:0016021: integral to membrane, GO:0019864: IgG binding, GO:0019882: antigen processing and presentation, GO:0030881: beta-2-microglobulin binding, GO:0042612: MHC class I protein complex</t>
  </si>
  <si>
    <t>11535_at</t>
  </si>
  <si>
    <t>adrenomedullin</t>
  </si>
  <si>
    <t>GO:0001570: vasculogenesis, GO:0001843: neural tube closure, GO:0002026: regulation of the force of heart contraction, GO:0002031: G-protein coupled receptor internalization, GO:0005179: hormone activity, GO:0005576: extracellular region, GO:0005615: extracellular space, GO:0005737: cytoplasm, GO:0006171: cAMP biosynthetic process, GO:0006950: response to stress, GO:0007204: elevation of cytosolic calcium ion concentration, GO:0007507: heart development, GO:0008209: androgen metabolic process, GO:0008284: positive regulation of cell proliferation, GO:0008285: negative regulation of cell proliferation, GO:0009611: response to wounding, GO:0010460: positive regulation of heart rate, GO:0030819: positive regulation of cAMP biosynthetic process, GO:0031102: neuron projection regeneration, GO:0031623: receptor internalization, GO:0031700: adrenomedullin receptor binding, GO:0032496: response to lipopolysaccharide, GO:0043116: negative regulation of vascular permeability, GO:0045766: positive regulation of angiogenesis, GO:0045768: positive regulation of anti-apoptosis, GO:0045906: negative regulation of vasoconstriction, GO:0045909: positive regulation of vasodilation, GO:0046879: hormone secretion, GO:0048589: developmental growth, GO:0055074: calcium ion homeostasis, GO:0060670: branching involved in labyrinthine layer morphogenesis, GO:0060712: spongiotrophoblast layer development, GO:0097084: vascular smooth muscle cell development, GO:2001214: positive regulation of vasculogenesis</t>
  </si>
  <si>
    <t>217944_at</t>
  </si>
  <si>
    <t>Rap guanine nucleotide exchange factor (GEF) 5</t>
  </si>
  <si>
    <t>04010: MAPK signaling pathway, 04722: Neurotrophin signaling pathway</t>
  </si>
  <si>
    <t>107250_at</t>
  </si>
  <si>
    <t>Kazal-type serine peptidase inhibitor domain 1</t>
  </si>
  <si>
    <t>GO:0005085: guanyl-nucleotide exchange factor activity, GO:0005622: intracellular, GO:0005634: nucleus, GO:0007264: small GTPase mediated signal transduction, GO:0017034: Rap guanyl-nucleotide exchange factor activity, GO:0030742: GTP-dependent protein binding, GO:0035556: intracellular signal transduction, GO:0050790: regulation of catalytic activity, GO:0050790: regulation of catalytic activity, GO:0051056: regulation of small GTPase mediated signal transduction</t>
  </si>
  <si>
    <t>98682_at</t>
  </si>
  <si>
    <t>major facilitator superfamily domain containing 6</t>
  </si>
  <si>
    <t>14219_at</t>
  </si>
  <si>
    <t>connective tissue growth factor</t>
  </si>
  <si>
    <t>GO:0001502: cartilage condensation, GO:0001503: ossification, GO:0001525: angiogenesis, GO:0001525: angiogenesis, GO:0001934: positive regulation of protein phosphorylation, GO:0001968: fibronectin binding, GO:0005178: integrin binding, GO:0005576: extracellular region, GO:0005578: proteinaceous extracellular matrix, GO:0005615: extracellular space, GO:0005794: Golgi apparatus, GO:0005801: cis-Golgi network, GO:0005829: cytosol, GO:0005938: cell cortex, GO:0007160: cell-matrix adhesion, GO:0007229: integrin-mediated signaling pathway, GO:0008083: growth factor activity, GO:0008201: heparin binding, GO:0008284: positive regulation of cell proliferation, GO:0008543: fibroblast growth factor receptor signaling pathway, GO:0010628: positive regulation of gene expression, GO:0010942: positive regulation of cell death, GO:0016477: cell migration, GO:0030154: cell differentiation, GO:0030324: lung development, GO:0032967: positive regulation of collagen biosynthetic process, GO:0035556: intracellular signal transduction, GO:0043231: intracellular membrane-bounded organelle, GO:0043280: positive regulation of cysteine-type endopeptidase activity involved in apoptotic process, GO:0045597: positive regulation of cell differentiation, GO:0046330: positive regulation of JNK cascade, GO:0048471: perinuclear region of cytoplasm, GO:0050867: positive regulation of cell activation, GO:0051496: positive regulation of stress fiber assembly, GO:0060401: cytosolic calcium ion transport, GO:0060452: positive regulation of cardiac muscle contraction, GO:0070278: extracellular matrix constituent secretion, GO:0070318: positive regulation of G0 to G1 transition, GO:0070374: positive regulation of ERK1 and ERK2 cascade, GO:0072593: reactive oxygen species metabolic process</t>
  </si>
  <si>
    <t>545370_at</t>
  </si>
  <si>
    <t>hemicentin 1</t>
  </si>
  <si>
    <t>GO:0003674: molecular_function, GO:0005576: extracellular region, GO:0005604: basement membrane, GO:0005938: cell cortex, GO:0008150: biological_process, GO:0030054: cell junction</t>
  </si>
  <si>
    <t>104110_at</t>
  </si>
  <si>
    <t>GO:0000166: nucleotide binding, GO:0004016: adenylate cyclase activity, GO:0004016: adenylate cyclase activity, GO:0005524: ATP binding, GO:0005622: intracellular, GO:0005622: intracellular, GO:0005737: cytoplasm, GO:0005886: plasma membrane, GO:0006171: cAMP biosynthetic process, GO:0006171: cAMP biosynthetic process, GO:0007188: adenylate cyclase-modulating G-protein coupled receptor signaling pathway, GO:0007190: activation of adenylate cyclase activity, GO:0009190: cyclic nucleotide biosynthetic process, GO:0016020: membrane, GO:0016021: integral to membrane, GO:0016829: lyase activity, GO:0016849: phosphorus-oxygen lyase activity, GO:0030425: dendrite, GO:0031683: G-protein beta/gamma-subunit complex binding, GO:0035556: intracellular signal transduction, GO:0043234: protein complex, GO:0046872: metal ion binding</t>
  </si>
  <si>
    <t>00230: Purine metabolism, 04020: Calcium signaling pathway, 04062: Chemokine signaling pathway, 04114: Oocyte meiosis, 04270: Vascular smooth muscle contraction, 04540: Gap junction, 04742: Taste transduction, 04912: GnRH signaling pathway, 04914: Progesterone-mediated oocyte maturation, 04916: Melanogenesis, 04970: Salivary secretion, 04971: Gastric acid secretion, 04972: Pancreatic secretion, 04976: Bile secretion, 05414: Dilated cardiomyopathy</t>
  </si>
  <si>
    <t>54712_at</t>
  </si>
  <si>
    <t>plexin C1</t>
  </si>
  <si>
    <t>GO:0004872: receptor activity, GO:0005622: intracellular, GO:0007165: signal transduction, GO:0007275: multicellular organismal development, GO:0016020: membrane, GO:0016021: integral to membrane</t>
  </si>
  <si>
    <t>110173_at</t>
  </si>
  <si>
    <t>mannosidase, beta A, lysosomal</t>
  </si>
  <si>
    <t>GO:0003824: catalytic activity, GO:0004553: hydrolase activity, hydrolyzing O-glycosyl compounds, GO:0004567: beta-mannosidase activity, GO:0004567: beta-mannosidase activity, GO:0005537: mannose binding, GO:0005764: lysosome, GO:0005764: lysosome, GO:0005975: carbohydrate metabolic process, GO:0006516: glycoprotein catabolic process, GO:0008152: metabolic process, GO:0016787: hydrolase activity, GO:0016798: hydrolase activity, acting on glycosyl bonds, GO:0043169: cation binding</t>
  </si>
  <si>
    <t>00511: Other glycan degradation, 04142: Lysosome</t>
  </si>
  <si>
    <t>78103_at</t>
  </si>
  <si>
    <t>RIKEN cDNA 8430431K14 gene</t>
  </si>
  <si>
    <t>245555_at</t>
  </si>
  <si>
    <t>expressed sequence C77370</t>
  </si>
  <si>
    <t>GO:0000084: S phase of mitotic cell cycle, GO:0003887: DNA-directed DNA polymerase activity, GO:0005634: nucleus, GO:0006287: base-excision repair, gap-filling, GO:0006297: nucleotide-excision repair, DNA gap filling, GO:0007346: regulation of mitotic cell cycle, GO:0008408: 3'-5' exonuclease activity, GO:0043137: DNA replication, removal of RNA primer, GO:0043625: delta DNA polymerase complex, GO:0045004: DNA replication proofreading, GO:0090305: nucleic acid phosphodiester bond hydrolysis</t>
  </si>
  <si>
    <t>19274_at</t>
  </si>
  <si>
    <t>protein tyrosine phosphatase, receptor type, M</t>
  </si>
  <si>
    <t>adenylate cyclase 4</t>
  </si>
  <si>
    <t>GO:0001937: negative regulation of endothelial cell proliferation, GO:0004721: phosphoprotein phosphatase activity, GO:0004725: protein tyrosine phosphatase activity, GO:0005001: transmembrane receptor protein tyrosine phosphatase activity, GO:0005737: cytoplasm, GO:0005911: cell-cell junction, GO:0005913: cell-cell adherens junction, GO:0006470: protein dephosphorylation, GO:0007155: cell adhesion, GO:0007156: homophilic cell adhesion, GO:0007165: signal transduction, GO:0010596: negative regulation of endothelial cell migration, GO:0010842: retina layer formation, GO:0016020: membrane, GO:0016021: integral to membrane, GO:0016311: dephosphorylation, GO:0016525: negative regulation of angiogenesis, GO:0016787: hydrolase activity, GO:0016791: phosphatase activity, GO:0030027: lamellipodium, GO:0031175: neuron projection development, GO:0031290: retinal ganglion cell axon guidance, GO:0035335: peptidyl-tyrosine dephosphorylation, GO:0042493: response to drug, GO:0045296: cadherin binding, GO:0045909: positive regulation of vasodilation, GO:0048471: perinuclear region of cytoplasm</t>
  </si>
  <si>
    <t>227120_at</t>
  </si>
  <si>
    <t>phospholipase C-like 1</t>
  </si>
  <si>
    <t>GO:0004435: phosphatidylinositol phospholipase C activity, GO:0004629: phospholipase C activity, GO:0004871: signal transducer activity, GO:0005509: calcium ion binding, GO:0005543: phospholipid binding, GO:0005737: cytoplasm, GO:0006629: lipid metabolic process, GO:0007165: signal transduction, GO:0007610: behavior, GO:0008081: phosphoric diester hydrolase activity, GO:0035556: intracellular signal transduction, GO:0050811: GABA receptor binding</t>
  </si>
  <si>
    <t>16439_at</t>
  </si>
  <si>
    <t>inositol 1,4,5-triphosphate receptor 2</t>
  </si>
  <si>
    <t>GO:0001666: response to hypoxia, GO:0005216: ion channel activity, GO:0005220: inositol 1,4,5-trisphosphate-sensitive calcium-release channel activity, GO:0005262: calcium channel activity, GO:0005737: cytoplasm, GO:0005737: cytoplasm, GO:0005783: endoplasmic reticulum, GO:0005938: cell cortex, GO:0006810: transport, GO:0006811: ion transport, GO:0006816: calcium ion transport, GO:0015278: calcium-release channel activity, GO:0016020: membrane, GO:0016021: integral to membrane, GO:0016529: sarcoplasmic reticulum, GO:0030424: axon, GO:0033017: sarcoplasmic reticulum membrane, GO:0034220: ion transmembrane transport, GO:0035091: phosphatidylinositol binding, GO:0043209: myelin sheath, GO:0055085: transmembrane transport, GO:0070588: calcium ion transmembrane transport, GO:0071320: cellular response to cAMP, GO:0071361: cellular response to ethanol</t>
  </si>
  <si>
    <t>04020: Calcium signaling pathway, 04070: Phosphatidylinositol signaling system, 04114: Oocyte meiosis, 04270: Vascular smooth muscle contraction, 04540: Gap junction, 04720: Long-term potentiation, 04730: Long-term depression, 04912: GnRH signaling pathway, 04970: Salivary secretion, 04971: Gastric acid secretion, 04972: Pancreatic secretion, 05010: Alzheimer's disease</t>
  </si>
  <si>
    <t>22359_at</t>
  </si>
  <si>
    <t>very low density lipoprotein receptor</t>
  </si>
  <si>
    <t>GO:0000122: negative regulation of transcription from RNA polymerase II promoter, GO:0001948: glycoprotein binding, GO:0005509: calcium ion binding, GO:0005515: protein binding, GO:0005615: extracellular space, GO:0005634: nucleus, GO:0005905: coated pit, GO:0006629: lipid metabolic process, GO:0006810: transport, GO:0006869: lipid transport, GO:0006897: endocytosis, GO:0006898: receptor-mediated endocytosis, GO:0008202: steroid metabolic process, GO:0008203: cholesterol metabolic process, GO:0009986: cell surface, GO:0016020: membrane, GO:0016021: integral to membrane, GO:0030229: very-low-density lipoprotein particle receptor activity, GO:0034185: apolipoprotein binding, GO:0034189: very-low-density lipoprotein particle binding, GO:0034361: very-low-density lipoprotein particle, GO:0034436: glycoprotein transport, GO:0034437: glycoprotein transporter activity, GO:0034447: very-low-density lipoprotein particle clearance, GO:0038025: reelin receptor activity, GO:0038026: reelin-mediated signaling pathway, GO:0045177: apical part of cell, GO:0045860: positive regulation of protein kinase activity, GO:0048306: calcium-dependent protein binding, GO:0048471: perinuclear region of cytoplasm, GO:0071456: cellular response to hypoxia, GO:1900006: positive regulation of dendrite development</t>
  </si>
  <si>
    <t>18186_at</t>
  </si>
  <si>
    <t>neuropilin 1</t>
  </si>
  <si>
    <t>GO:0001525: angiogenesis, GO:0001569: patterning of blood vessels, GO:0005021: vascular endothelial growth factor-activated receptor activity, GO:0005515: protein binding, GO:0005829: cytosol, GO:0005883: neurofilament, GO:0005886: plasma membrane, GO:0007155: cell adhesion, GO:0007275: multicellular organismal development, GO:0007399: nervous system development, GO:0007411: axon guidance, GO:0007411: axon guidance, GO:0007411: axon guidance, GO:0007413: axonal fasciculation, GO:0007507: heart development, GO:0008201: heparin binding, GO:0009986: cell surface, GO:0016020: membrane, GO:0016021: integral to membrane, GO:0016358: dendrite development, GO:0016477: cell migration, GO:0017154: semaphorin receptor activity, GO:0017154: semaphorin receptor activity, GO:0017154: semaphorin receptor activity, GO:0019838: growth factor binding, GO:0021636: trigeminal nerve morphogenesis, GO:0030154: cell differentiation, GO:0030424: axon, GO:0030424: axon, GO:0030426: growth cone, GO:0030517: negative regulation of axon extension, GO:0035729: cellular response to hepatocyte growth factor stimulus, GO:0035767: endothelial cell chemotaxis, GO:0038084: vascular endothelial growth factor signaling pathway, GO:0043025: neuronal cell body, GO:0046872: metal ion binding, GO:0048008: platelet-derived growth factor receptor signaling pathway, GO:0048010: vascular endothelial growth factor receptor signaling pathway, GO:0048010: vascular endothelial growth factor receptor signaling pathway, GO:0048012: hepatocyte growth factor receptor signaling pathway, GO:0048485: sympathetic nervous system development, GO:0048841: regulation of axon extension involved in axon guidance, GO:0048843: negative regulation of axon extension involved in axon guidance, GO:0048843: negative regulation of axon extension involved in axon guidance, GO:0050731: positive regulation of peptidyl-tyrosine phosphorylation, GO:0060666: dichotomous subdivision of terminal units involved in salivary gland branching, GO:0060666: dichotomous subdivision of terminal units involved in salivary gland branching, GO:0071526: semaphorin-plexin signaling pathway, GO:0071526: semaphorin-plexin signaling pathway, GO:0071526: semaphorin-plexin signaling pathway</t>
  </si>
  <si>
    <t>GO:0004860: protein kinase inhibitor activity, GO:0005886: plasma membrane, GO:0006469: negative regulation of protein kinase activity, GO:0006469: negative regulation of protein kinase activity, GO:0008427: calcium-dependent protein kinase inhibitor activity, GO:0014069: postsynaptic density, GO:0016020: membrane, GO:0019901: protein kinase binding, GO:0030054: cell junction, GO:0030425: dendrite, GO:0043005: neuron projection, GO:0043025: neuronal cell body, GO:0045202: synapse, GO:0045211: postsynaptic membrane</t>
  </si>
  <si>
    <t>320878_at</t>
  </si>
  <si>
    <t>microtubule associated monoxygenase, calponin and LIM domain containing 2</t>
  </si>
  <si>
    <t>GO:0003674: molecular_function, GO:0003779: actin binding, GO:0004497: monooxygenase activity, GO:0005575: cellular_component, GO:0005737: cytoplasm, GO:0005856: cytoskeleton, GO:0008150: biological_process, GO:0008152: metabolic process, GO:0008270: zinc ion binding, GO:0016491: oxidoreductase activity, GO:0046872: metal ion binding, GO:0055114: oxidation-reduction process</t>
  </si>
  <si>
    <t>100043261_at</t>
  </si>
  <si>
    <t>predicted gene 4322</t>
  </si>
  <si>
    <t>208076_at</t>
  </si>
  <si>
    <t>Pbx/knotted 1 homeobox 2</t>
  </si>
  <si>
    <t>GO:0003677: DNA binding, GO:0003700: sequence-specific DNA binding transcription factor activity, GO:0003785: actin monomer binding, GO:0005634: nucleus, GO:0005737: cytoplasm, GO:0006355: regulation of transcription, DNA-dependent, GO:0006357: regulation of transcription from RNA polymerase II promoter, GO:0015629: actin cytoskeleton, GO:0015630: microtubule cytoskeleton, GO:0043565: sequence-specific DNA binding, GO:0043565: sequence-specific DNA binding, GO:0051015: actin filament binding</t>
  </si>
  <si>
    <t>230815_at</t>
  </si>
  <si>
    <t>mannosidase, alpha, class 1C, member 1</t>
  </si>
  <si>
    <t>GO:0004571: mannosyl-oligosaccharide 1,2-alpha-mannosidase activity, GO:0005509: calcium ion binding, GO:0005794: Golgi apparatus, GO:0006013: mannose metabolic process, GO:0030166: proteoglycan biosynthetic process</t>
  </si>
  <si>
    <t>20496_at</t>
  </si>
  <si>
    <t>solute carrier family 12, member 2</t>
  </si>
  <si>
    <t>GO:0005215: transporter activity, GO:0005515: protein binding, GO:0005886: plasma membrane, GO:0006810: transport, GO:0006811: ion transport, GO:0006813: potassium ion transport, GO:0006814: sodium ion transport, GO:0006821: chloride transport, GO:0006821: chloride transport, GO:0006972: hyperosmotic response, GO:0008511: sodium:potassium:chloride symporter activity, GO:0015293: symporter activity, GO:0015377: cation:chloride symporter activity, GO:0015696: ammonium transport, GO:0016020: membrane, GO:0016021: integral to membrane, GO:0016323: basolateral plasma membrane, GO:0016324: apical plasma membrane, GO:0030321: transepithelial chloride transport, GO:0034220: ion transmembrane transport, GO:0034220: ion transmembrane transport, GO:0035264: multicellular organism growth, GO:0045795: positive regulation of cell volume, GO:0050910: detection of mechanical stimulus involved in sensory perception of sound, GO:0051739: ammonia transmembrane transporter activity, GO:0055085: transmembrane transport, GO:0060444: branching involved in mammary gland duct morphogenesis, GO:0060763: mammary duct terminal end bud growth, GO:0070634: transepithelial ammonium transport</t>
  </si>
  <si>
    <t>04970: Salivary secretion, 04972: Pancreatic secretion</t>
  </si>
  <si>
    <t>26938_at</t>
  </si>
  <si>
    <t>ST6 (alpha-N-acetyl-neuraminyl-2,3-beta-galactosyl-1,3)-N-acetylgalactosaminide alpha-2,6-sialyltransferase 5</t>
  </si>
  <si>
    <t>GO:0001665: alpha-N-acetylgalactosaminide alpha-2,6-sialyltransferase activity, GO:0005794: Golgi apparatus, GO:0006486: protein glycosylation, GO:0006688: glycosphingolipid biosynthetic process, GO:0008373: sialyltransferase activity, GO:0009312: oligosaccharide biosynthetic process, GO:0016020: membrane, GO:0016021: integral to membrane, GO:0016740: transferase activity, GO:0016757: transferase activity, transferring glycosyl groups, GO:0030173: integral to Golgi membrane</t>
  </si>
  <si>
    <t>17311_at</t>
  </si>
  <si>
    <t>kit ligand</t>
  </si>
  <si>
    <t>66259_at</t>
  </si>
  <si>
    <t>calcium/calmodulin-dependent protein kinase II inhibitor 1</t>
  </si>
  <si>
    <t>GO:0001541: ovarian follicle development, GO:0001755: neural crest cell migration, GO:0002763: positive regulation of myeloid leukocyte differentiation, GO:0005125: cytokine activity, GO:0005173: stem cell factor receptor binding, GO:0005515: protein binding, GO:0005576: extracellular region, GO:0005615: extracellular space, GO:0005737: cytoplasm, GO:0005856: cytoskeleton, GO:0005886: plasma membrane, GO:0007155: cell adhesion, GO:0007281: germ cell development, GO:0008083: growth factor activity, GO:0008284: positive regulation of cell proliferation, GO:0008284: positive regulation of cell proliferation, GO:0008284: positive regulation of cell proliferation, GO:0016020: membrane, GO:0016021: integral to membrane, GO:0033026: negative regulation of mast cell apoptotic process, GO:0035162: embryonic hemopoiesis, GO:0035234: germ cell programmed cell death, GO:0043066: negative regulation of apoptotic process, GO:0043406: positive regulation of MAP kinase activity, GO:0045636: positive regulation of melanocyte differentiation, GO:0045740: positive regulation of DNA replication, GO:0046579: positive regulation of Ras protein signal transduction, GO:0050731: positive regulation of peptidyl-tyrosine phosphorylation, GO:0070668: positive regulation of mast cell proliferation</t>
  </si>
  <si>
    <t>04060: Cytokine-cytokine receptor interaction, 04640: Hematopoietic cell lineage, 04916: Melanogenesis, 05200: Pathways in cancer</t>
  </si>
  <si>
    <t>73341_at</t>
  </si>
  <si>
    <t>Rac/Cdc42 guanine nucleotide exchange factor (GEF) 6</t>
  </si>
  <si>
    <t>GO:0005085: guanyl-nucleotide exchange factor activity, GO:0005089: Rho guanyl-nucleotide exchange factor activity, GO:0005543: phospholipid binding, GO:0005622: intracellular, GO:0005737: cytoplasm, GO:0035023: regulation of Rho protein signal transduction, GO:0035556: intracellular signal transduction, GO:0050790: regulation of catalytic activity</t>
  </si>
  <si>
    <t>04810: Regulation of actin cytoskeleton, 05212: Pancreatic cancer</t>
  </si>
  <si>
    <t>406217_at</t>
  </si>
  <si>
    <t>brain expressed gene 4</t>
  </si>
  <si>
    <t>glutathione peroxidase 7</t>
  </si>
  <si>
    <t>GO:0004601: peroxidase activity, GO:0004602: glutathione peroxidase activity, GO:0005576: extracellular region, GO:0006979: response to oxidative stress, GO:0016491: oxidoreductase activity, GO:0055114: oxidation-reduction process</t>
  </si>
  <si>
    <t>00480: Glutathione metabolism, 00590: Arachidonic acid metabolism</t>
  </si>
  <si>
    <t>57754_at</t>
  </si>
  <si>
    <t>cell cycle exit and neuronal differentiation 1</t>
  </si>
  <si>
    <t>GO:0003674: molecular_function, GO:0008150: biological_process, GO:0016020: membrane, GO:0016021: integral to membrane</t>
  </si>
  <si>
    <t>170677_at</t>
  </si>
  <si>
    <t>cadherin-related family member 1</t>
  </si>
  <si>
    <t>GO:0003674: molecular_function, GO:0005634: nucleus, GO:0005737: cytoplasm, GO:0008150: biological_process</t>
  </si>
  <si>
    <t>66212_at</t>
  </si>
  <si>
    <t>Sec61 beta subunit</t>
  </si>
  <si>
    <t>GO:0000060: protein import into nucleus, translocation, GO:0005622: intracellular, GO:0005783: endoplasmic reticulum, GO:0006810: transport, GO:0015031: protein transport, GO:0016020: membrane, GO:0016021: integral to membrane, GO:0030433: ER-associated protein catabolic process, GO:0030970: retrograde protein transport, ER to cytosol, GO:0043022: ribosome binding, GO:0048408: epidermal growth factor binding</t>
  </si>
  <si>
    <t>03060: Protein export, 04141: Protein processing in endoplasmic reticulum, 04145: Phagosome</t>
  </si>
  <si>
    <t>73166_at</t>
  </si>
  <si>
    <t>transmembrane 7 superfamily member 2</t>
  </si>
  <si>
    <t>GO:0005783: endoplasmic reticulum, GO:0006694: steroid biosynthetic process, GO:0006695: cholesterol biosynthetic process, GO:0008610: lipid biosynthetic process, GO:0016020: membrane, GO:0016021: integral to membrane, GO:0016126: sterol biosynthetic process, GO:0016491: oxidoreductase activity, GO:0016628: oxidoreductase activity, acting on the CH-CH group of donors, NAD or NADP as acceptor, GO:0043231: intracellular membrane-bounded organelle, GO:0050613: delta14-sterol reductase activity, GO:0055114: oxidation-reduction process</t>
  </si>
  <si>
    <t>00100: Steroid biosynthesis, 01100: Metabolic pathways</t>
  </si>
  <si>
    <t>14726_at</t>
  </si>
  <si>
    <t>podoplanin</t>
  </si>
  <si>
    <t>GO:0005509: calcium ion binding, GO:0009790: embryo development, GO:0009791: post-embryonic development, GO:0009897: external side of plasma membrane, GO:0016020: membrane, GO:0016021: integral to membrane, GO:0030154: cell differentiation, GO:0045746: negative regulation of Notch signaling pathway, GO:0048706: embryonic skeletal system development</t>
  </si>
  <si>
    <t>102614_at</t>
  </si>
  <si>
    <t>ribonuclease P 25 subunit (human)</t>
  </si>
  <si>
    <t>GO:0003674: molecular_function, GO:0003676: nucleic acid binding, GO:0003723: RNA binding, GO:0004526: ribonuclease P activity, GO:0005575: cellular_component, GO:0005634: nucleus, GO:0008033: tRNA processing, GO:0008150: biological_process, GO:0016787: hydrolase activity, GO:0090305: nucleic acid phosphodiester bond hydrolysis</t>
  </si>
  <si>
    <t>03008: Ribosome biogenesis in eukaryotes, 03013: RNA transport</t>
  </si>
  <si>
    <t>15395_at</t>
  </si>
  <si>
    <t>homeobox A10</t>
  </si>
  <si>
    <t>GO:0000902: cell morphogenesis, GO:0001726: ruffle, GO:0001946: lymphangiogenesis, GO:0005886: plasma membrane, GO:0005886: plasma membrane, GO:0006693: prostaglandin metabolic process, GO:0006928: cellular component movement, GO:0007049: cell cycle, GO:0007155: cell adhesion, GO:0007165: signal transduction, GO:0007275: multicellular organismal development, GO:0008283: cell proliferation, GO:0008360: regulation of cell shape, GO:0010572: positive regulation of platelet activation, GO:0016020: membrane, GO:0016021: integral to membrane, GO:0016324: apical plasma membrane, GO:0016337: cell-cell adhesion, GO:0030027: lamellipodium, GO:0030175: filopodium, GO:0030324: lung development, GO:0030335: positive regulation of cell migration, GO:0035239: tube morphogenesis, GO:0042995: cell projection, GO:0048286: lung alveolus development, GO:0051272: positive regulation of cellular component movement, GO:0061032: visceral serous pericardium development</t>
  </si>
  <si>
    <t>667281_at</t>
  </si>
  <si>
    <t>histocompatibility 60b</t>
  </si>
  <si>
    <t>GO:0016021: integral to membrane, GO:0030101: natural killer cell activation, GO:0046703: natural killer cell lectin-like receptor binding</t>
  </si>
  <si>
    <t>67305_at</t>
  </si>
  <si>
    <t>GO:0001501: skeletal system development, GO:0003677: DNA binding, GO:0003700: sequence-specific DNA binding transcription factor activity, GO:0005634: nucleus, GO:0005667: transcription factor complex, GO:0006351: transcription, DNA-dependent, GO:0006355: regulation of transcription, DNA-dependent, GO:0007275: multicellular organismal development, GO:0009952: anterior/posterior pattern specification, GO:0009954: proximal/distal pattern formation, GO:0030326: embryonic limb morphogenesis, GO:0043565: sequence-specific DNA binding</t>
  </si>
  <si>
    <t>13506_at</t>
  </si>
  <si>
    <t>desmocollin 2</t>
  </si>
  <si>
    <t>GO:0005509: calcium ion binding, GO:0005886: plasma membrane, GO:0005913: cell-cell adherens junction, GO:0007155: cell adhesion, GO:0007156: homophilic cell adhesion, GO:0016020: membrane, GO:0016021: integral to membrane, GO:0030054: cell junction, GO:0030057: desmosome, GO:0030057: desmosome</t>
  </si>
  <si>
    <t>14799_at</t>
  </si>
  <si>
    <t>glutamate receptor, ionotropic, AMPA1 (alpha 1)</t>
  </si>
  <si>
    <t>GO:0005509: calcium ion binding, GO:0005515: protein binding, GO:0005886: plasma membrane, GO:0005887: integral to plasma membrane, GO:0007155: cell adhesion, GO:0007156: homophilic cell adhesion, GO:0009987: cellular process, GO:0016020: membrane, GO:0016021: integral to membrane, GO:0042622: photoreceptor outer segment membrane, GO:0045494: photoreceptor cell maintenance</t>
  </si>
  <si>
    <t>207182_at</t>
  </si>
  <si>
    <t>gamma-glutamyltransferase 7</t>
  </si>
  <si>
    <t>GO:0003674: molecular_function, GO:0003840: gamma-glutamyltransferase activity, GO:0005575: cellular_component, GO:0006750: glutathione biosynthetic process, GO:0008150: biological_process, GO:0016020: membrane, GO:0016021: integral to membrane, GO:0016740: transferase activity, GO:0016746: transferase activity, transferring acyl groups, GO:0016787: hydrolase activity</t>
  </si>
  <si>
    <t>00430: Taurine and hypotaurine metabolism, 00460: Cyanoamino acid metabolism, 00480: Glutathione metabolism, 00590: Arachidonic acid metabolism, 01100: Metabolic pathways</t>
  </si>
  <si>
    <t>13386_at</t>
  </si>
  <si>
    <t>delta-like 1 homolog (Drosophila)</t>
  </si>
  <si>
    <t>GO:0001919: regulation of receptor recycling, GO:0001965: G-protein alpha-subunit binding, GO:0004872: receptor activity, GO:0004970: ionotropic glutamate receptor activity, GO:0004971: alpha-amino-3-hydroxy-5-methyl-4-isoxazole propionate selective glutamate receptor activity, GO:0005216: ion channel activity, GO:0005234: extracellular-glutamate-gated ion channel activity, GO:0005515: protein binding, GO:0005769: early endosome, GO:0005783: endoplasmic reticulum, GO:0005829: cytosol, GO:0005886: plasma membrane, GO:0005886: plasma membrane, GO:0006810: transport, GO:0006811: ion transport, GO:0007268: synaptic transmission, GO:0007616: long-term memory, GO:0007616: long-term memory, GO:0008179: adenylate cyclase binding, GO:0008328: ionotropic glutamate receptor complex, GO:0009636: response to toxin, GO:0009986: cell surface, GO:0014069: postsynaptic density, GO:0014069: postsynaptic density, GO:0016020: membrane, GO:0016021: integral to membrane, GO:0019228: regulation of action potential in neuron, GO:0019901: protein kinase binding, GO:0019904: protein domain specific binding, GO:0030054: cell junction, GO:0030165: PDZ domain binding, GO:0030425: dendrite, GO:0031267: small GTPase binding, GO:0031489: myosin V binding, GO:0031594: neuromuscular junction, GO:0031623: receptor internalization, GO:0031623: receptor internalization, GO:0031681: G-protein beta-subunit binding, GO:0031698: beta-2 adrenergic receptor binding, GO:0032279: asymmetric synapse, GO:0032281: alpha-amino-3-hydroxy-5-methyl-4-isoxazolepropionic acid selective glutamate receptor complex, GO:0032281: alpha-amino-3-hydroxy-5-methyl-4-isoxazolepropionic acid selective glutamate receptor complex, GO:0032590: dendrite membrane, GO:0034220: ion transmembrane transport, GO:0034220: ion transmembrane transport, GO:0035235: ionotropic glutamate receptor signaling pathway, GO:0042995: cell projection, GO:0043025: neuronal cell body, GO:0043025: neuronal cell body, GO:0043197: dendritic spine, GO:0043197: dendritic spine, GO:0043198: dendritic shaft, GO:0043234: protein complex, GO:0044309: neuron spine, GO:0044309: neuron spine, GO:0045202: synapse, GO:0045211: postsynaptic membrane, GO:0045838: positive regulation of membrane potential, GO:0048167: regulation of synaptic plasticity, GO:0050804: regulation of synaptic transmission, GO:0050806: positive regulation of synaptic transmission, GO:0051018: protein kinase A binding, GO:0060076: excitatory synapse</t>
  </si>
  <si>
    <t>04080: Neuroactive ligand-receptor interaction, 04720: Long-term potentiation, 04730: Long-term depression, 05014: Amyotrophic lateral sclerosis (ALS)</t>
  </si>
  <si>
    <t>16527_at</t>
  </si>
  <si>
    <t>potassium channel, subfamily K, member 3</t>
  </si>
  <si>
    <t>GO:0005216: ion channel activity, GO:0005244: voltage-gated ion channel activity, GO:0005252: open rectifier potassium channel activity, GO:0005267: potassium channel activity, GO:0005886: plasma membrane, GO:0006810: transport, GO:0006811: ion transport, GO:0006813: potassium ion transport, GO:0008022: protein C-terminus binding, GO:0016020: membrane, GO:0016021: integral to membrane, GO:0034765: regulation of ion transmembrane transport, GO:0042493: response to drug, GO:0042803: protein homodimerization activity, GO:0046982: protein heterodimerization activity, GO:0051481: reduction of cytosolic calcium ion concentration, GO:0071456: cellular response to hypoxia, GO:0071805: potassium ion transmembrane transport</t>
  </si>
  <si>
    <t>210719_at</t>
  </si>
  <si>
    <t>mohawk homeobox</t>
  </si>
  <si>
    <t>GO:0000122: negative regulation of transcription from RNA polymerase II promoter, GO:0000981: sequence-specific DNA binding RNA polymerase II transcription factor activity, GO:0001085: RNA polymerase II transcription factor binding, GO:0002932: tendon sheath development, GO:0003677: DNA binding, GO:0003700: sequence-specific DNA binding transcription factor activity, GO:0005515: protein binding, GO:0005634: nucleus, GO:0005667: transcription factor complex, GO:0006355: regulation of transcription, DNA-dependent, GO:0007275: multicellular organismal development, GO:0010468: regulation of gene expression, GO:0010628: positive regulation of gene expression, GO:0030199: collagen fibril organization, GO:0032967: positive regulation of collagen biosynthetic process, GO:0035990: tendon cell differentiation, GO:0035992: tendon formation, GO:0043565: sequence-specific DNA binding, GO:0045662: negative regulation of myoblast differentiation</t>
  </si>
  <si>
    <t>434215_at</t>
  </si>
  <si>
    <t>leucine rich repeat containing 32</t>
  </si>
  <si>
    <t>kinase insert domain protein receptor</t>
  </si>
  <si>
    <t>GO:0005515: protein binding, GO:0005622: intracellular, GO:0005634: nucleus, GO:0005739: mitochondrion, GO:0006397: mRNA processing, GO:0008380: RNA splicing, GO:0016528: sarcoplasm, GO:0042802: identical protein binding, GO:0042981: regulation of apoptotic process, GO:0043066: negative regulation of apoptotic process, GO:0043154: negative regulation of cysteine-type endopeptidase activity involved in apoptotic process</t>
  </si>
  <si>
    <t>320438_at</t>
  </si>
  <si>
    <t>asparagine-linked glycosylation 6 (alpha-1,3,-glucosyltransferase)</t>
  </si>
  <si>
    <t>GO:0001501: skeletal system development, GO:0001501: skeletal system development, GO:0001968: fibronectin binding, GO:0004222: metalloendopeptidase activity, GO:0004222: metalloendopeptidase activity, GO:0005576: extracellular region, GO:0005578: proteinaceous extracellular matrix, GO:0005615: extracellular space, GO:0006508: proteolysis, GO:0006979: response to oxidative stress, GO:0007566: embryo implantation, GO:0008152: metabolic process, GO:0008233: peptidase activity, GO:0008237: metallopeptidase activity, GO:0008270: zinc ion binding, GO:0016787: hydrolase activity, GO:0019087: transformation of host cell by virus, GO:0030198: extracellular matrix organization, GO:0030198: extracellular matrix organization, GO:0030574: collagen catabolic process, GO:0031012: extracellular matrix, GO:0031915: positive regulation of synaptic plasticity, GO:0032403: protein complex binding, GO:0042493: response to drug, GO:0043065: positive regulation of apoptotic process, GO:0043234: protein complex, GO:0045766: positive regulation of angiogenesis, GO:0046872: metal ion binding, GO:0048771: tissue remodeling, GO:0051549: positive regulation of keratinocyte migration, GO:0071460: cellular response to cell-matrix adhesion</t>
  </si>
  <si>
    <t>04670: Leukocyte transendothelial migration, 05200: Pathways in cancer, 05219: Bladder cancer</t>
  </si>
  <si>
    <t>78688_at</t>
  </si>
  <si>
    <t>nucleolar protein 3 (apoptosis repressor with CARD domain)</t>
  </si>
  <si>
    <t>GO:0005575: cellular_component, GO:0005783: endoplasmic reticulum, GO:0005789: endoplasmic reticulum membrane, GO:0006487: protein N-linked glycosylation, GO:0008152: metabolic process, GO:0016020: membrane, GO:0016021: integral to membrane, GO:0016740: transferase activity, GO:0016757: transferase activity, transferring glycosyl groups, GO:0016758: transferase activity, transferring hexosyl groups, GO:0046527: glucosyltransferase activity</t>
  </si>
  <si>
    <t>100124484_at</t>
  </si>
  <si>
    <t>microRNA 453</t>
  </si>
  <si>
    <t>353237_at</t>
  </si>
  <si>
    <t>protocadherin alpha subfamily C, 2</t>
  </si>
  <si>
    <t>17768_at</t>
  </si>
  <si>
    <t>methylenetetrahydrofolate dehydrogenase (NAD+ dependent), methenyltetrahydrofolate cyclohydrolase</t>
  </si>
  <si>
    <t>GO:0000166: nucleotide binding, GO:0000287: magnesium ion binding, GO:0003824: catalytic activity, GO:0004477: methenyltetrahydrofolate cyclohydrolase activity, GO:0004487: methylenetetrahydrofolate dehydrogenase (NAD+) activity, GO:0004488: methylenetetrahydrofolate dehydrogenase (NADP+) activity, GO:0005739: mitochondrion, GO:0006730: one-carbon metabolic process, GO:0008152: metabolic process, GO:0009396: folic acid-containing compound biosynthetic process, GO:0016491: oxidoreductase activity, GO:0016787: hydrolase activity, GO:0042301: phosphate ion binding, GO:0046653: tetrahydrofolate metabolic process, GO:0055114: oxidation-reduction process</t>
  </si>
  <si>
    <t>00670: One carbon pool by folate, 01100: Metabolic pathways</t>
  </si>
  <si>
    <t>545681_at</t>
  </si>
  <si>
    <t>predicted gene 12992</t>
  </si>
  <si>
    <t>21930_at</t>
  </si>
  <si>
    <t>tumor necrosis factor alpha induced protein 6</t>
  </si>
  <si>
    <t>GO:0010628: positive regulation of gene expression, GO:0046007: negative regulation of activated T cell proliferation, GO:0050710: negative regulation of cytokine secretion</t>
  </si>
  <si>
    <t>17395_at</t>
  </si>
  <si>
    <t>matrix metallopeptidase 9</t>
  </si>
  <si>
    <t>GO:0005540: hyaluronic acid binding, GO:0007155: cell adhesion</t>
  </si>
  <si>
    <t>244810_at</t>
  </si>
  <si>
    <t>expressed sequence AW551984</t>
  </si>
  <si>
    <t>GO:0003674: molecular_function, GO:0005575: cellular_component, GO:0055007: cardiac muscle cell differentiation, GO:0060923: cardiac muscle cell fate commitment</t>
  </si>
  <si>
    <t>16542_at</t>
  </si>
  <si>
    <t>GO:0000166: nucleotide binding, GO:0001541: ovarian follicle development, GO:0001570: vasculogenesis, GO:0001666: response to hypoxia, GO:0001938: positive regulation of endothelial cell proliferation, GO:0001945: lymph vessel development, GO:0002053: positive regulation of mesenchymal cell proliferation, GO:0004713: protein tyrosine kinase activity, GO:0005021: vascular endothelial growth factor-activated receptor activity, GO:0005021: vascular endothelial growth factor-activated receptor activity, GO:0005178: integrin binding, GO:0005524: ATP binding, GO:0005737: cytoplasm, GO:0005886: plasma membrane, GO:0005887: integral to plasma membrane, GO:0007204: elevation of cytosolic calcium ion concentration, GO:0008284: positive regulation of cell proliferation, GO:0008360: regulation of cell shape, GO:0008584: male gonad development, GO:0009897: external side of plasma membrane, GO:0010595: positive regulation of endothelial cell migration, GO:0014068: positive regulation of phosphatidylinositol 3-kinase cascade, GO:0016020: membrane, GO:0016021: integral to membrane, GO:0016301: kinase activity, GO:0016310: phosphorylation, GO:0016477: cell migration, GO:0016740: transferase activity, GO:0018108: peptidyl-tyrosine phosphorylation, GO:0019838: growth factor binding, GO:0019838: growth factor binding, GO:0030097: hemopoiesis, GO:0030324: lung development, GO:0030335: positive regulation of cell migration, GO:0032008: positive regulation of TOR signaling cascade, GO:0035584: calcium-mediated signaling using intracellular calcium source, GO:0035924: cellular response to vascular endothelial growth factor stimulus, GO:0038084: vascular endothelial growth factor signaling pathway, GO:0038084: vascular endothelial growth factor signaling pathway, GO:0038085: vascular endothelial growth factor binding, GO:0042221: response to chemical stimulus, GO:0043005: neuron projection, GO:0043025: neuronal cell body, GO:0043066: negative regulation of apoptotic process, GO:0043129: surfactant homeostasis, GO:0043410: positive regulation of MAPK cascade, GO:0045165: cell fate commitment, GO:0045446: endothelial cell differentiation, GO:0045766: positive regulation of angiogenesis, GO:0045909: positive regulation of vasodilation, GO:0046777: protein autophosphorylation, GO:0048010: vascular endothelial growth factor receptor signaling pathway, GO:0048010: vascular endothelial growth factor receptor signaling pathway, GO:0048170: positive regulation of long-term neuronal synaptic plasticity, GO:0048286: lung alveolus development, GO:0048469: cell maturation, GO:0048754: branching morphogenesis of a tube, GO:0048812: neuron projection morphogenesis, GO:0050679: positive regulation of epithelial cell proliferation, GO:0050850: positive regulation of calcium-mediated signaling, GO:0050927: positive regulation of positive chemotaxis, GO:0051770: positive regulation of nitric-oxide synthase biosynthetic process, GO:0051894: positive regulation of focal adhesion assembly, GO:0055074: calcium ion homeostasis, GO:0070374: positive regulation of ERK1 and ERK2 cascade, GO:0071944: cell periphery, GO:2000352: negative regulation of endothelial cell apoptotic process</t>
  </si>
  <si>
    <t>04060: Cytokine-cytokine receptor interaction, 04144: Endocytosis, 04370: VEGF signaling pathway, 04510: Focal adhesion</t>
  </si>
  <si>
    <t>17116_at</t>
  </si>
  <si>
    <t>mab-21-like 1 (C. elegans)</t>
  </si>
  <si>
    <t>GO:0005634: nucleus, GO:0007275: multicellular organismal development, GO:0008284: positive regulation of cell proliferation, GO:0043010: camera-type eye development, GO:0048568: embryonic organ development</t>
  </si>
  <si>
    <t>12933_at</t>
  </si>
  <si>
    <t>collapsin response mediator protein 1</t>
  </si>
  <si>
    <t>GO:0005737: cytoplasm, GO:0005856: cytoskeleton, GO:0006208: pyrimidine nucleobase catabolic process, GO:0016787: hydrolase activity, GO:0016810: hydrolase activity, acting on carbon-nitrogen (but not peptide) bonds, GO:0016812: hydrolase activity, acting on carbon-nitrogen (but not peptide) bonds, in cyclic amides, GO:0030425: dendrite, GO:0043025: neuronal cell body, GO:0043231: intracellular membrane-bounded organelle, GO:0051219: phosphoprotein binding</t>
  </si>
  <si>
    <t>72575_at</t>
  </si>
  <si>
    <t>RIKEN cDNA C430049B03 gene</t>
  </si>
  <si>
    <t>751552_at</t>
  </si>
  <si>
    <t>microRNA 667</t>
  </si>
  <si>
    <t>18605_at</t>
  </si>
  <si>
    <t>ectonucleotide pyrophosphatase/phosphodiesterase 1</t>
  </si>
  <si>
    <t>GO:0003676: nucleic acid binding, GO:0003824: catalytic activity, GO:0004528: phosphodiesterase I activity, GO:0004551: nucleotide diphosphatase activity, GO:0005044: scavenger receptor activity, GO:0005158: insulin receptor binding, GO:0005524: ATP binding, GO:0005615: extracellular space, GO:0005615: extracellular space, GO:0005886: plasma membrane, GO:0006091: generation of precursor metabolites and energy, GO:0006796: phosphate-containing compound metabolic process, GO:0006898: receptor-mediated endocytosis, GO:0006955: immune response, GO:0008152: metabolic process, GO:0009143: nucleoside triphosphate catabolic process, GO:0009986: cell surface, GO:0009986: cell surface, GO:0016020: membrane, GO:0016021: integral to membrane, GO:0016787: hydrolase activity, GO:0030247: polysaccharide binding, GO:0030279: negative regulation of ossification, GO:0030308: negative regulation of cell growth, GO:0030505: inorganic diphosphate transport, GO:0030643: cellular phosphate ion homeostasis, GO:0030730: sequestering of triglyceride, GO:0031214: biomineral tissue development, GO:0031953: negative regulation of protein autophosphorylation, GO:0032869: cellular response to insulin stimulus, GO:0035529: NADH pyrophosphatase activity, GO:0042803: protein homodimerization activity, GO:0045599: negative regulation of fat cell differentiation, GO:0045599: negative regulation of fat cell differentiation, GO:0045719: negative regulation of glycogen biosynthetic process, GO:0046325: negative regulation of glucose import, GO:0046627: negative regulation of insulin receptor signaling pathway, GO:0046849: bone remodeling, GO:0046872: metal ion binding, GO:0047429: nucleoside-triphosphate diphosphatase activity, GO:0050427: 3'-phosphoadenosine 5'-phosphosulfate metabolic process, GO:0090305: nucleic acid phosphodiester bond hydrolysis</t>
  </si>
  <si>
    <t>723857_at</t>
  </si>
  <si>
    <t>microRNA 377</t>
  </si>
  <si>
    <t>15396_at</t>
  </si>
  <si>
    <t>homeobox A11</t>
  </si>
  <si>
    <t>GO:0001501: skeletal system development, GO:0001501: skeletal system development, GO:0001656: metanephros development, GO:0001658: branching involved in ureteric bud morphogenesis, GO:0001759: organ induction, GO:0003677: DNA binding, GO:0003700: sequence-specific DNA binding transcription factor activity, GO:0005515: protein binding, GO:0005634: nucleus, GO:0005667: transcription factor complex, GO:0005730: nucleolus, GO:0005737: cytoplasm, GO:0006351: transcription, DNA-dependent, GO:0006355: regulation of transcription, DNA-dependent, GO:0007275: multicellular organismal development, GO:0007501: mesodermal cell fate specification, GO:0009952: anterior/posterior pattern specification, GO:0009953: dorsal/ventral pattern formation, GO:0009954: proximal/distal pattern formation, GO:0010720: positive regulation of cell development, GO:0030326: embryonic limb morphogenesis, GO:0032332: positive regulation of chondrocyte differentiation, GO:0032993: protein-DNA complex, GO:0042733: embryonic digit morphogenesis, GO:0043234: protein complex, GO:0043565: sequence-specific DNA binding, GO:0045893: positive regulation of transcription, DNA-dependent, GO:0048589: developmental growth, GO:0060351: cartilage development involved in endochondral bone morphogenesis</t>
  </si>
  <si>
    <t>70025_at</t>
  </si>
  <si>
    <t>acyl-CoA thioesterase 7</t>
  </si>
  <si>
    <t>GO:0004091: carboxylesterase activity, GO:0005737: cytoplasm, GO:0005829: cytosol, GO:0005829: cytosol, GO:0008152: metabolic process, GO:0008152: metabolic process, GO:0009062: fatty acid catabolic process, GO:0016290: palmitoyl-CoA hydrolase activity, GO:0016787: hydrolase activity, GO:0043005: neuron projection, GO:0044297: cell body, GO:0047617: acyl-CoA hydrolase activity</t>
  </si>
  <si>
    <t>13809_at</t>
  </si>
  <si>
    <t>glutamyl aminopeptidase</t>
  </si>
  <si>
    <t>GO:0001525: angiogenesis, GO:0003081: regulation of systemic arterial blood pressure by renin-angiotensin, GO:0004177: aminopeptidase activity, GO:0005886: plasma membrane, GO:0005903: brush border, GO:0006508: proteolysis, GO:0006725: cellular aromatic compound metabolic process, GO:0008233: peptidase activity, GO:0008237: metallopeptidase activity, GO:0008270: zinc ion binding, GO:0008283: cell proliferation, GO:0009897: external side of plasma membrane, GO:0012506: vesicle membrane, GO:0016020: membrane, GO:0016021: integral to membrane, GO:0016324: apical plasma membrane, GO:0016477: cell migration, GO:0016787: hydrolase activity, GO:0031410: cytoplasmic vesicle, GO:0031983: vesicle lumen, GO:0042277: peptide binding, GO:0045177: apical part of cell, GO:0046872: metal ion binding, GO:0070006: metalloaminopeptidase activity</t>
  </si>
  <si>
    <t>04614: Renin-angiotensin system</t>
  </si>
  <si>
    <t>14205_at</t>
  </si>
  <si>
    <t>c-fos induced growth factor</t>
  </si>
  <si>
    <t>GO:0001525: angiogenesis, GO:0005172: vascular endothelial growth factor receptor binding, GO:0005515: protein binding, GO:0005576: extracellular region, GO:0005615: extracellular space, GO:0007275: multicellular organismal development, GO:0008083: growth factor activity, GO:0008283: cell proliferation, GO:0008284: positive regulation of cell proliferation, GO:0016020: membrane, GO:0030154: cell differentiation, GO:0030947: regulation of vascular endothelial growth factor receptor signaling pathway, GO:0032755: positive regulation of interleukin-6 production, GO:0042056: chemoattractant activity, GO:0042803: protein homodimerization activity, GO:0043185: vascular endothelial growth factor receptor 3 binding, GO:0048010: vascular endothelial growth factor receptor signaling pathway, GO:0048010: vascular endothelial growth factor receptor signaling pathway, GO:0050918: positive chemotaxis, GO:0050930: induction of positive chemotaxis, GO:0051781: positive regulation of cell division, GO:0060754: positive regulation of mast cell chemotaxis</t>
  </si>
  <si>
    <t>GO:0003333: amino acid transmembrane transport, GO:0005886: plasma membrane, GO:0015171: amino acid transmembrane transporter activity, GO:0015175: neutral amino acid transmembrane transporter activity, GO:0015187: glycine transmembrane transporter activity, GO:0015804: neutral amino acid transport, GO:0015816: glycine transport, GO:0015837: amine transport, GO:0016020: membrane, GO:0016021: integral to membrane</t>
  </si>
  <si>
    <t>18008_at</t>
  </si>
  <si>
    <t>nestin</t>
  </si>
  <si>
    <t>04060: Cytokine-cytokine receptor interaction, 04150: mTOR signaling pathway, 04510: Focal adhesion, 05200: Pathways in cancer, 05211: Renal cell carcinoma, 05212: Pancreatic cancer, 05219: Bladder cancer</t>
  </si>
  <si>
    <t>100040724_at</t>
  </si>
  <si>
    <t>miRNA containing gene</t>
  </si>
  <si>
    <t>15430_at</t>
  </si>
  <si>
    <t>homeobox D10</t>
  </si>
  <si>
    <t>GO:0001501: skeletal system development, GO:0001501: skeletal system development, GO:0003677: DNA binding, GO:0003682: chromatin binding, GO:0003700: sequence-specific DNA binding transcription factor activity, GO:0005515: protein binding, GO:0005634: nucleus, GO:0006351: transcription, DNA-dependent, GO:0006355: regulation of transcription, DNA-dependent, GO:0007275: multicellular organismal development, GO:0007519: skeletal muscle tissue development, GO:0008344: adult locomotory behavior, GO:0009952: anterior/posterior pattern specification, GO:0009954: proximal/distal pattern formation, GO:0021520: spinal cord motor neuron cell fate specification, GO:0030326: embryonic limb morphogenesis, GO:0035136: forelimb morphogenesis, GO:0035137: hindlimb morphogenesis, GO:0043565: sequence-specific DNA binding, GO:0045944: positive regulation of transcription from RNA polymerase II promoter, GO:0048704: embryonic skeletal system morphogenesis, GO:0048935: peripheral nervous system neuron development, GO:0050905: neuromuscular process</t>
  </si>
  <si>
    <t>15431_at</t>
  </si>
  <si>
    <t>homeobox D11</t>
  </si>
  <si>
    <t>GO:0000166: nucleotide binding, GO:0003924: GTPase activity, GO:0005509: calcium ion binding, GO:0005515: protein binding, GO:0005524: ATP binding, GO:0005525: GTP binding, GO:0005622: intracellular, GO:0005737: cytoplasm, GO:0005768: endosome, GO:0005886: plasma membrane, GO:0006184: GTP catabolic process, GO:0016020: membrane, GO:0030139: endocytic vesicle, GO:0032456: endocytic recycling, GO:0048471: perinuclear region of cytoplasm, GO:0051260: protein homooligomerization, GO:0055038: recycling endosome membrane, GO:0072661: protein targeting to plasma membrane, GO:0072661: protein targeting to plasma membrane, GO:0086036: regulation of cardiac muscle cell membrane potential, GO:0086036: regulation of cardiac muscle cell membrane potential</t>
  </si>
  <si>
    <t>15405_at</t>
  </si>
  <si>
    <t>homeobox A9</t>
  </si>
  <si>
    <t>GO:0001501: skeletal system development, GO:0001501: skeletal system development, GO:0001656: metanephros development, GO:0001658: branching involved in ureteric bud morphogenesis, GO:0001759: organ induction, GO:0003677: DNA binding, GO:0003700: sequence-specific DNA binding transcription factor activity, GO:0005634: nucleus, GO:0006351: transcription, DNA-dependent, GO:0006355: regulation of transcription, DNA-dependent, GO:0007275: multicellular organismal development, GO:0007389: pattern specification process, GO:0009952: anterior/posterior pattern specification, GO:0009953: dorsal/ventral pattern formation, GO:0009954: proximal/distal pattern formation, GO:0010720: positive regulation of cell development, GO:0030326: embryonic limb morphogenesis, GO:0032332: positive regulation of chondrocyte differentiation, GO:0042733: embryonic digit morphogenesis, GO:0043565: sequence-specific DNA binding, GO:0048589: developmental growth, GO:0060351: cartilage development involved in endochondral bone morphogenesis</t>
  </si>
  <si>
    <t>209837_at</t>
  </si>
  <si>
    <t>solute carrier family 38, member 5</t>
  </si>
  <si>
    <t>GO:0005515: protein binding, GO:0005886: plasma membrane, GO:0006955: immune response, GO:0009897: external side of plasma membrane, GO:0016020: membrane, GO:0019882: antigen processing and presentation, GO:0031225: anchored to membrane, GO:0046658: anchored to plasma membrane, GO:0046703: natural killer cell lectin-like receptor binding</t>
  </si>
  <si>
    <t>04650: Natural killer cell mediated cytotoxicity</t>
  </si>
  <si>
    <t>72472_at</t>
  </si>
  <si>
    <t>solute carrier family 16 (monocarboxylic acid transporters), member 10</t>
  </si>
  <si>
    <t>GO:0005886: plasma membrane, GO:0006810: transport, GO:0016020: membrane, GO:0016021: integral to membrane, GO:0055085: transmembrane transport</t>
  </si>
  <si>
    <t>70415_at</t>
  </si>
  <si>
    <t>RIKEN cDNA 2610018G03 gene</t>
  </si>
  <si>
    <t>GO:0000086: G2/M transition of mitotic cell cycle, GO:0005198: structural molecule activity, GO:0005622: intracellular, GO:0005737: cytoplasm, GO:0005737: cytoplasm, GO:0005882: intermediate filament, GO:0005882: intermediate filament, GO:0007275: multicellular organismal development, GO:0007399: nervous system development, GO:0030844: positive regulation of intermediate filament depolymerization, GO:0031730: CCR5 chemokine receptor binding, GO:0032091: negative regulation of protein binding, GO:0043066: negative regulation of apoptotic process, GO:0043086: negative regulation of catalytic activity, GO:0045111: intermediate filament cytoskeleton, GO:0048858: cell projection morphogenesis, GO:0072089: stem cell proliferation, GO:2000179: positive regulation of neural precursor cell proliferation</t>
  </si>
  <si>
    <t>57440_at</t>
  </si>
  <si>
    <t>EH-domain containing 3</t>
  </si>
  <si>
    <t>GO:0000166: nucleotide binding, GO:0000287: magnesium ion binding, GO:0004672: protein kinase activity, GO:0004674: protein serine/threonine kinase activity, GO:0005524: ATP binding, GO:0005737: cytoplasm, GO:0005794: Golgi apparatus, GO:0006468: protein phosphorylation, GO:0006915: apoptotic process, GO:0016020: membrane, GO:0016301: kinase activity, GO:0016310: phosphorylation, GO:0016740: transferase activity, GO:0016772: transferase activity, transferring phosphorus-containing groups, GO:0042802: identical protein binding, GO:0042981: regulation of apoptotic process, GO:0046872: metal ion binding</t>
  </si>
  <si>
    <t>633285_at</t>
  </si>
  <si>
    <t>RNA binding motif protein 46</t>
  </si>
  <si>
    <t>723842_at</t>
  </si>
  <si>
    <t>microRNA 329</t>
  </si>
  <si>
    <t>GO:0030509: BMP signaling pathway</t>
  </si>
  <si>
    <t>14633_at</t>
  </si>
  <si>
    <t>GLI-Kruppel family member GLI2</t>
  </si>
  <si>
    <t>GO:0003677: DNA binding, GO:0003700: sequence-specific DNA binding transcription factor activity, GO:0005515: protein binding, GO:0005634: nucleus, GO:0005634: nucleus, GO:0005667: transcription factor complex, GO:0005737: cytoplasm, GO:0006351: transcription, DNA-dependent, GO:0006355: regulation of transcription, DNA-dependent, GO:0007275: multicellular organismal development, GO:0009952: anterior/posterior pattern specification, GO:0009952: anterior/posterior pattern specification, GO:0009954: proximal/distal pattern formation, GO:0019899: enzyme binding, GO:0030879: mammary gland development, GO:0035115: embryonic forelimb morphogenesis, GO:0042118: endothelial cell activation, GO:0043565: sequence-specific DNA binding, GO:0048706: embryonic skeletal system development, GO:0048706: embryonic skeletal system development, GO:0060216: definitive hemopoiesis</t>
  </si>
  <si>
    <t>56554_at</t>
  </si>
  <si>
    <t>retinoic acid early transcript delta</t>
  </si>
  <si>
    <t>GO:0000122: negative regulation of transcription from RNA polymerase II promoter, GO:0000122: negative regulation of transcription from RNA polymerase II promoter, GO:0001501: skeletal system development, GO:0001649: osteoblast differentiation, GO:0001701: in utero embryonic development, GO:0001822: kidney development, GO:0002009: morphogenesis of an epithelium, GO:0002076: osteoblast development, GO:0002076: osteoblast development, GO:0003676: nucleic acid binding, GO:0003677: DNA binding, GO:0003682: chromatin binding, GO:0003700: sequence-specific DNA binding transcription factor activity, GO:0003700: sequence-specific DNA binding transcription factor activity, GO:0005515: protein binding, GO:0005622: intracellular, GO:0005634: nucleus, GO:0005634: nucleus, GO:0005737: cytoplasm, GO:0005737: cytoplasm, GO:0005929: cilium, GO:0006351: transcription, DNA-dependent, GO:0006355: regulation of transcription, DNA-dependent, GO:0006915: apoptotic process, GO:0007224: smoothened signaling pathway, GO:0007224: smoothened signaling pathway, GO:0007224: smoothened signaling pathway, GO:0007389: pattern specification process, GO:0007389: pattern specification process, GO:0007411: axon guidance, GO:0007418: ventral midline development, GO:0007418: ventral midline development, GO:0007442: hindgut morphogenesis, GO:0007442: hindgut morphogenesis, GO:0007507: heart development, GO:0008270: zinc ion binding, GO:0008283: cell proliferation, GO:0008283: cell proliferation, GO:0008284: positive regulation of cell proliferation, GO:0008284: positive regulation of cell proliferation, GO:0008589: regulation of smoothened signaling pathway, GO:0009913: epidermal cell differentiation, GO:0009953: dorsal/ventral pattern formation, GO:0009954: proximal/distal pattern formation, GO:0016020: membrane, GO:0021508: floor plate formation, GO:0021513: spinal cord dorsal/ventral patterning, GO:0021513: spinal cord dorsal/ventral patterning, GO:0021517: ventral spinal cord development, GO:0021696: cerebellar cortex morphogenesis, GO:0021696: cerebellar cortex morphogenesis, GO:0021775: smoothened signaling pathway involved in ventral spinal cord interneuron specification, GO:0021776: smoothened signaling pathway involved in spinal cord motor neuron cell fate specification, GO:0021904: dorsal/ventral neural tube patterning, GO:0021904: dorsal/ventral neural tube patterning, GO:0021915: neural tube development, GO:0021938: smoothened signaling pathway involved in regulation of cerebellar granule cell precursor cell proliferation, GO:0021938: smoothened signaling pathway involved in regulation of cerebellar granule cell precursor cell proliferation, GO:0021965: spinal cord ventral commissure morphogenesis, GO:0021983: pituitary gland development, GO:0030154: cell differentiation, GO:0030324: lung development, GO:0030324: lung development, GO:0030879: mammary gland development, GO:0030902: hindbrain development, GO:0030902: hindbrain development, GO:0031512: motile primary cilium, GO:0032331: negative regulation of chondrocyte differentiation, GO:0035295: tube development, GO:0042475: odontogenesis of dentin-containing tooth, GO:0042475: odontogenesis of dentin-containing tooth, GO:0042733: embryonic digit morphogenesis, GO:0043565: sequence-specific DNA binding, GO:0043565: sequence-specific DNA binding, GO:0044212: transcription regulatory region DNA binding, GO:0045666: positive regulation of neuron differentiation, GO:0045740: positive regulation of DNA replication, GO:0045893: positive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GO:0046872: metal ion binding, GO:0048566: embryonic digestive tract development, GO:0048589: developmental growth, GO:0048646: anatomical structure formation involved in morphogenesis, GO:0048666: neuron development, GO:0048754: branching morphogenesis of a tube, GO:0048856: anatomical structure development, GO:0048856: anatomical structure development, GO:0060032: notochord regression, GO:0060322: head development, GO:0060513: prostatic bud formation, GO:0060603: mammary gland duct morphogenesis, GO:0060831: smoothened signaling pathway involved in dorsal/ventral neural tube patterning, GO:0071407: cellular response to organic cyclic compound, GO:0090103: cochlea morphogenesis</t>
  </si>
  <si>
    <t>98741_at</t>
  </si>
  <si>
    <t>potassium voltage gated channel, Shab-related subfamily, member 2</t>
  </si>
  <si>
    <t>GO:0005216: ion channel activity, GO:0005244: voltage-gated ion channel activity, GO:0005249: voltage-gated potassium channel activity, GO:0005267: potassium channel activity, GO:0006810: transport, GO:0006811: ion transport, GO:0006813: potassium ion transport, GO:0008076: voltage-gated potassium channel complex, GO:0016020: membrane, GO:0016021: integral to membrane, GO:0034765: regulation of ion transmembrane transport, GO:0043025: neuronal cell body, GO:0051260: protein homooligomerization, GO:0055085: transmembrane transport, GO:0071805: potassium ion transmembrane transport</t>
  </si>
  <si>
    <t>100861571_at</t>
  </si>
  <si>
    <t>Im snoRNA 2</t>
  </si>
  <si>
    <t>14461_at</t>
  </si>
  <si>
    <t>GATA binding protein 2</t>
  </si>
  <si>
    <t>GO:0000122: negative regulation of transcription from RNA polymerase II promoter, GO:0000980: RNA polymerase II distal enhancer sequence-specific DNA binding, GO:0001077: RNA polymerase II core promoter proximal region sequence-specific DNA binding transcription factor activity involved in positive regulation of transcription, GO:0001158: enhancer sequence-specific DNA binding, GO:0001655: urogenital system development, GO:0001709: cell fate determination, GO:0001892: embryonic placenta development, GO:0003677: DNA binding, GO:0003682: chromatin binding, GO:0003682: chromatin binding, GO:0003700: sequence-specific DNA binding transcription factor activity, GO:0005515: protein binding, GO:0005634: nucleus, GO:0005634: nucleus, GO:0006351: transcription, DNA-dependent, GO:0006355: regulation of transcription, DNA-dependent, GO:0006909: phagocytosis, GO:0008134: transcription factor binding, GO:0008270: zinc ion binding, GO:0021514: ventral spinal cord interneuron differentiation, GO:0021533: cell differentiation in hindbrain, GO:0021954: central nervous system neuron development, GO:0021983: pituitary gland development, GO:0030154: cell differentiation, GO:0030182: neuron differentiation, GO:0035019: somatic stem cell maintenance, GO:0035065: regulation of histone acetylation, GO:0035854: eosinophil fate commitment, GO:0042472: inner ear morphogenesis, GO:0043234: protein complex, GO:0043565: sequence-specific DNA binding, GO:0045599: negative regulation of fat cell differentiation, GO:0045599: negative regulation of fat cell differentiation, GO:0045638: negative regulation of myeloid cell differentiation, GO:0045648: positive regulation of erythrocyte differentiation, GO:0045650: negative regulation of macrophage differentiation, GO:0045654: positive regulation of megakaryocyte differentiation, GO:0045746: negative regulation of Notch signaling pathway, GO:0045766: positive regulation of angiogenesis, GO:0045766: positive regulation of angiogenesis, GO:0045944: positive regulation of transcription from RNA polymerase II promoter, GO:0045944: positive regulation of transcription from RNA polymerase II promoter, GO:0045944: positive regulation of transcription from RNA polymerase II promoter, GO:0045944: positive regulation of transcription from RNA polymerase II promoter, GO:0046872: metal ion binding, GO:0048469: cell maturation, GO:0048663: neuron fate commitment, GO:0048873: homeostasis of number of cells within a tissue, GO:0050766: positive regulation of phagocytosis, GO:0060216: definitive hemopoiesis, GO:0060872: semicircular canal development, GO:0070345: negative regulation of fat cell proliferation, GO:0070742: C2H2 zinc finger domain binding, GO:2000178: negative regulation of neural precursor cell proliferation, GO:2000178: negative regulation of neural precursor cell proliferation</t>
  </si>
  <si>
    <t>104360_at</t>
  </si>
  <si>
    <t>insulin related protein 2 (islet 2)</t>
  </si>
  <si>
    <t>GO:0003677: DNA binding, GO:0003700: sequence-specific DNA binding transcription factor activity, GO:0005622: intracellular, GO:0005634: nucleus, GO:0006355: regulation of transcription, DNA-dependent, GO:0007275: multicellular organismal development, GO:0008270: zinc ion binding, GO:0021520: spinal cord motor neuron cell fate specification, GO:0021524: visceral motor neuron differentiation, GO:0021524: visceral motor neuron differentiation, GO:0031290: retinal ganglion cell axon guidance, GO:0043565: sequence-specific DNA binding, GO:0045665: negative regulation of neuron differentiation, GO:0045665: negative regulation of neuron differentiation, GO:0046872: metal ion binding, GO:0048663: neuron fate commitment, GO:0048663: neuron fate commitment</t>
  </si>
  <si>
    <t>77629_at</t>
  </si>
  <si>
    <t>SPHK1 interactor, AKAP domain containing</t>
  </si>
  <si>
    <t>GO:0005575: cellular_component, GO:0005737: cytoplasm, GO:0008150: biological_process, GO:0051018: protein kinase A binding</t>
  </si>
  <si>
    <t>723839_at</t>
  </si>
  <si>
    <t>microRNA 323</t>
  </si>
  <si>
    <t>14560_at</t>
  </si>
  <si>
    <t>growth differentiation factor 10</t>
  </si>
  <si>
    <t>GO:0005125: cytokine activity, GO:0005576: extracellular region, GO:0005615: extracellular space, GO:0008083: growth factor activity, GO:0040007: growth, GO:0045669: positive regulation of osteoblast differentiation</t>
  </si>
  <si>
    <t>12950_at</t>
  </si>
  <si>
    <t>hyaluronan and proteoglycan link protein 1</t>
  </si>
  <si>
    <t>GO:0005540: hyaluronic acid binding, GO:0005576: extracellular region, GO:0005578: proteinaceous extracellular matrix, GO:0007155: cell adhesion</t>
  </si>
  <si>
    <t>22762_at</t>
  </si>
  <si>
    <t>zinc finger protein, multitype 2</t>
  </si>
  <si>
    <t>GO:0000122: negative regulation of transcription from RNA polymerase II promoter, GO:0001071: nucleic acid binding transcription factor activity, GO:0001570: vasculogenesis, GO:0001570: vasculogenesis, GO:0001701: in utero embryonic development, GO:0003148: outflow tract septum morphogenesis, GO:0003151: outflow tract morphogenesis, GO:0003181: atrioventricular valve morphogenesis, GO:0003192: mitral valve formation, GO:0003195: tricuspid valve formation, GO:0003221: right ventricular cardiac muscle tissue morphogenesis, GO:0003676: nucleic acid binding, GO:0003677: DNA binding, GO:0003714: transcription corepressor activity, GO:0003714: transcription corepressor activity, GO:0005515: protein binding, GO:0005622: intracellular, GO:0005634: nucleus, GO:0005634: nucleus, GO:0005737: cytoplasm, GO:0006351: transcription, DNA-dependent, GO:0006355: regulation of transcription, DNA-dependent, GO:0007507: heart development, GO:0007507: heart development, GO:0008134: transcription factor binding, GO:0008134: transcription factor binding, GO:0008270: zinc ion binding, GO:0030324: lung development, GO:0045599: negative regulation of fat cell differentiation, GO:0045599: negative regulation of fat cell differentiation, GO:0045892: negative regulation of transcription, DNA-dependent, GO:0045892: negative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GO:0046872: metal ion binding, GO:0048568: embryonic organ development, GO:0048568: embryonic organ development, GO:0048738: cardiac muscle tissue development, GO:0055008: cardiac muscle tissue morphogenesis, GO:0060412: ventricular septum morphogenesis, GO:0060548: negative regulation of cell death, GO:0060979: vasculogenesis involved in coronary vascular morphogenesis, GO:2000020: positive regulation of male gonad development, GO:2000195: negative regulation of female gonad development</t>
  </si>
  <si>
    <t>24051_at</t>
  </si>
  <si>
    <t>sarcoglycan, beta (dystrophin-associated glycoprotein)</t>
  </si>
  <si>
    <t>GO:0005737: cytoplasm, GO:0005856: cytoskeleton, GO:0005886: plasma membrane, GO:0005887: integral to plasma membrane, GO:0007010: cytoskeleton organization, GO:0016010: dystrophin-associated glycoprotein complex, GO:0016012: sarcoglycan complex, GO:0016020: membrane, GO:0016021: integral to membrane, GO:0016044: cellular membrane organization, GO:0035051: cardiac cell differentiation</t>
  </si>
  <si>
    <t>67606_at</t>
  </si>
  <si>
    <t>fin bud initiation factor homolog (zebrafish)</t>
  </si>
  <si>
    <t>GO:0003674: molecular_function, GO:0005575: cellular_component, GO:0005576: extracellular region, GO:0005783: endoplasmic reticulum, GO:0005794: Golgi apparatus, GO:0008150: biological_process</t>
  </si>
  <si>
    <t>14537_at</t>
  </si>
  <si>
    <t>glucosaminyl (N-acetyl) transferase 1, core 2</t>
  </si>
  <si>
    <t>GO:0003829: beta-1,3-galactosyl-O-glycosyl-glycoprotein beta-1,6-N-acetylglucosaminyltransferase activity, GO:0005615: extracellular space, GO:0005794: Golgi apparatus, GO:0008152: metabolic process, GO:0008152: metabolic process, GO:0008375: acetylglucosaminyltransferase activity, GO:0016020: membrane, GO:0016021: integral to membrane, GO:0016740: transferase activity, GO:0016757: transferase activity, transferring glycosyl groups, GO:0048729: tissue morphogenesis, GO:0060993: kidney morphogenesis</t>
  </si>
  <si>
    <t>77015_at</t>
  </si>
  <si>
    <t>metallophosphoesterase domain containing 2</t>
  </si>
  <si>
    <t>GO:0005575: cellular_component, GO:0008150: biological_process, GO:0008152: metabolic process, GO:0016787: hydrolase activity, GO:0046872: metal ion binding</t>
  </si>
  <si>
    <t>20377_at</t>
  </si>
  <si>
    <t>secreted frizzled-related protein 1</t>
  </si>
  <si>
    <t>GO:0001756: somitogenesis, GO:0001843: neural tube closure, GO:0001944: vasculature development, GO:0002244: hemopoietic progenitor cell differentiation, GO:0004197: cysteine-type endopeptidase activity, GO:0005109: frizzled binding, GO:0005576: extracellular region, GO:0005578: proteinaceous extracellular matrix, GO:0005615: extracellular space, GO:0005622: intracellular, GO:0005737: cytoplasm, GO:0005829: cytosol, GO:0005886: plasma membrane, GO:0005886: plasma membrane, GO:0006309: apoptotic DNA fragmentation, GO:0006357: regulation of transcription from RNA polymerase II promoter, GO:0007165: signal transduction, GO:0007275: multicellular organismal development, GO:0007420: brain development, GO:0008144: drug binding, GO:0008201: heparin binding, GO:0008284: positive regulation of cell proliferation, GO:0008285: negative regulation of cell proliferation, GO:0008584: male gonad development, GO:0008585: female gonad development, GO:0009950: dorsal/ventral axis specification, GO:0009952: anterior/posterior pattern specification, GO:0009986: cell surface, GO:0010564: regulation of cell cycle process, GO:0010629: negative regulation of gene expression, GO:0010629: negative regulation of gene expression, GO:0010719: negative regulation of epithelial to mesenchymal transition, GO:0014034: neural crest cell fate commitment, GO:0014070: response to organic cyclic compound, GO:0016055: Wnt receptor signaling pathway, GO:0017147: Wnt-protein binding, GO:0017147: Wnt-protein binding, GO:0021915: neural tube development, GO:0030036: actin cytoskeleton organization, GO:0030097: hemopoiesis, GO:0030154: cell differentiation, GO:0030165: PDZ domain binding, GO:0030177: positive regulation of Wnt receptor signaling pathway, GO:0030178: negative regulation of Wnt receptor signaling pathway, GO:0030178: negative regulation of Wnt receptor signaling pathway, GO:0030278: regulation of ossification, GO:0030279: negative regulation of ossification, GO:0030279: negative regulation of ossification, GO:0030307: positive regulation of cell growth, GO:0030308: negative regulation of cell growth, GO:0030336: negative regulation of cell migration, GO:0030514: negative regulation of BMP signaling pathway, GO:0031012: extracellular matrix, GO:0033689: negative regulation of osteoblast proliferation, GO:0033689: negative regulation of osteoblast proliferation, GO:0034446: substrate adhesion-dependent cell spreading, GO:0035019: somatic stem cell maintenance, GO:0042493: response to drug, GO:0042493: response to drug, GO:0042802: identical protein binding, GO:0042813: Wnt-activated receptor activity, GO:0043065: positive regulation of apoptotic process, GO:0043065: positive regulation of apoptotic process, GO:0043066: negative regulation of apoptotic process, GO:0043066: negative regulation of apoptotic process, GO:0043508: negative regulation of JUN kinase activity, GO:0044344: cellular response to fibroblast growth factor stimulus, GO:0045578: negative regulation of B cell differentiation, GO:0045578: negative regulation of B cell differentiation, GO:0045600: positive regulation of fat cell differentiation, GO:0045668: negative regulation of osteoblast differentiation, GO:0045671: negative regulation of osteoclast differentiation, GO:0045671: negative regulation of osteoclast differentiation, GO:0045880: positive regulation of smoothened signaling pathway, GO:0045892: negative regulation of transcription, DNA-dependent, GO:0045893: positive regulation of transcription, DNA-dependent, GO:0046546: development of primary male sexual characteristics, GO:0046676: negative regulation of insulin secretion, GO:0046851: negative regulation of bone remodeling, GO:0048147: negative regulation of fibroblast proliferation, GO:0048546: digestive tract morphogenesis, GO:0050679: positive regulation of epithelial cell proliferation, GO:0050680: negative regulation of epithelial cell proliferation, GO:0050732: negative regulation of peptidyl-tyrosine phosphorylation, GO:0060070: canonical Wnt receptor signaling pathway, GO:0060071: Wnt receptor signaling pathway, planar cell polarity pathway, GO:0060218: hemopoietic stem cell differentiation, GO:0060346: bone trabecula formation, GO:0060527: prostate epithelial cord arborization involved in prostate glandular acinus morphogenesis, GO:0060687: regulation of branching involved in prostate gland morphogenesis, GO:0060766: negative regulation of androgen receptor signaling pathway, GO:0071356: cellular response to tumor necrosis factor, GO:0071363: cellular response to growth factor stimulus, GO:0071391: cellular response to estrogen stimulus, GO:0071391: cellular response to estrogen stimulus, GO:0071481: cellular response to X-ray, GO:0071504: cellular response to heparin, GO:0090090: negative regulation of canonical Wnt receptor signaling pathway, GO:0090090: negative regulation of canonical Wnt receptor signaling pathway, GO:0090090: negative regulation of canonical Wnt receptor signaling pathway, GO:0090175: regulation of establishment of planar polarity, GO:0090179: planar cell polarity pathway involved in neural tube closure, GO:0090244: Wnt receptor signaling pathway involved in somitogenesis, GO:0090246: convergent extension involved in somitogenesis, GO:0090263: positive regulation of canonical Wnt receptor signaling pathway, GO:2000041: negative regulation of planar cell polarity pathway involved in axis elongation, GO:2000052: positive regulation of non-canonical Wnt receptor signaling pathway, GO:2000054: negative regulation of Wnt receptor signaling pathway involved in dorsal/ventral axis specification, GO:2000080: negative regulation of canonical Wnt receptor signaling pathway involved in controlling type B pancreatic cell proliferation, GO:2000117: negative regulation of cysteine-type endopeptidase activity, GO:2000270: negative regulation of fibroblast apoptotic process, GO:2000271: positive regulation of fibroblast apoptotic process</t>
  </si>
  <si>
    <t>GO:0003824: catalytic activity, GO:0004084: branched-chain-amino-acid transaminase activity, GO:0004084: branched-chain-amino-acid transaminase activity, GO:0005737: cytoplasm, GO:0005739: mitochondrion, GO:0005829: cytosol, GO:0008152: metabolic process, GO:0008483: transaminase activity, GO:0008652: cellular amino acid biosynthetic process, GO:0009081: branched-chain amino acid metabolic process, GO:0009082: branched-chain amino acid biosynthetic process, GO:0009083: branched-chain amino acid catabolic process, GO:0016740: transferase activity, GO:0031571: mitotic cell cycle G1/S transition DNA damage checkpoint, GO:0034644: cellular response to UV, GO:0042802: identical protein binding, GO:0052654: L-leucine transaminase activity, GO:0052655: L-valine transaminase activity, GO:0052656: L-isoleucine transaminase activity</t>
  </si>
  <si>
    <t>GO:0004871: signal transducer activity, GO:0004930: G-protein coupled receptor activity, GO:0005886: plasma membrane, GO:0006935: chemotaxis, GO:0007165: signal transduction, GO:0007186: G-protein coupled receptor signaling pathway, GO:0010759: positive regulation of macrophage chemotaxis, GO:0016020: membrane, GO:0016021: integral to membrane, GO:0032088: negative regulation of NF-kappaB transcription factor activity, GO:0032695: negative regulation of interleukin-12 production, GO:0050848: regulation of calcium-mediated signaling</t>
  </si>
  <si>
    <t>100306944_at</t>
  </si>
  <si>
    <t>small nucleolar RNA, H/ACA box 73a</t>
  </si>
  <si>
    <t>68859_at</t>
  </si>
  <si>
    <t>RIKEN cDNA 1190007F08 gene</t>
  </si>
  <si>
    <t>14453_at</t>
  </si>
  <si>
    <t>growth arrest specific 2</t>
  </si>
  <si>
    <t>RIKEN cDNA C630043F03 gene</t>
  </si>
  <si>
    <t>14747_at</t>
  </si>
  <si>
    <t>chemokine-like receptor 1</t>
  </si>
  <si>
    <t>67790_at</t>
  </si>
  <si>
    <t>RAB39B, member RAS oncogene family</t>
  </si>
  <si>
    <t>19731_at</t>
  </si>
  <si>
    <t>ral guanine nucleotide dissociation stimulator,-like 1</t>
  </si>
  <si>
    <t>GO:0005085: guanyl-nucleotide exchange factor activity, GO:0005622: intracellular, GO:0007165: signal transduction, GO:0007264: small GTPase mediated signal transduction, GO:0050790: regulation of catalytic activity, GO:0051056: regulation of small GTPase mediated signal transduction</t>
  </si>
  <si>
    <t>268935_at</t>
  </si>
  <si>
    <t>signal peptide, CUB domain, EGF-like 3</t>
  </si>
  <si>
    <t>GO:0005509: calcium ion binding, GO:0005576: extracellular region, GO:0009986: cell surface, GO:0051260: protein homooligomerization, GO:0051291: protein heterooligomerization</t>
  </si>
  <si>
    <t>23966_at</t>
  </si>
  <si>
    <t>odd Oz/ten-m homolog 4 (Drosophila)</t>
  </si>
  <si>
    <t>GO:0001702: gastrulation with mouth forming second, GO:0003674: molecular_function, GO:0005575: cellular_component, GO:0007165: signal transduction, GO:0016020: membrane, GO:0016021: integral to membrane</t>
  </si>
  <si>
    <t>12035_at</t>
  </si>
  <si>
    <t>branched chain aminotransferase 1, cytosolic</t>
  </si>
  <si>
    <t>GO:0005737: cytoplasm, GO:0005856: cytoskeleton, GO:0006915: apoptotic process, GO:0007049: cell cycle, GO:0007050: cell cycle arrest, GO:0008360: regulation of cell shape, GO:0016020: membrane</t>
  </si>
  <si>
    <t>100303646_at</t>
  </si>
  <si>
    <t>snoRNA AF357355</t>
  </si>
  <si>
    <t>GO:0000166: nucleotide binding, GO:0005525: GTP binding, GO:0005622: intracellular, GO:0005622: intracellular, GO:0005737: cytoplasm, GO:0005794: Golgi apparatus, GO:0005794: Golgi apparatus, GO:0005886: plasma membrane, GO:0006810: transport, GO:0007264: small GTPase mediated signal transduction, GO:0015031: protein transport, GO:0016020: membrane, GO:0016192: vesicle-mediated transport, GO:0050808: synapse organization</t>
  </si>
  <si>
    <t>723940_at</t>
  </si>
  <si>
    <t>microRNA 487b</t>
  </si>
  <si>
    <t>12162_at</t>
  </si>
  <si>
    <t>bone morphogenetic protein 7</t>
  </si>
  <si>
    <t>00280: Valine, leucine and isoleucine degradation, 00290: Valine, leucine and isoleucine biosynthesis, 00770: Pantothenate and CoA biosynthesis, 01100: Metabolic pathways</t>
  </si>
  <si>
    <t>26427_at</t>
  </si>
  <si>
    <t>cAMP responsive element binding protein 3-like 1</t>
  </si>
  <si>
    <t>GO:0001077: RNA polymerase II core promoter proximal region sequence-specific DNA binding transcription factor activity involved in positive regulation of transcription, GO:0003677: DNA binding, GO:0003682: chromatin binding, GO:0003700: sequence-specific DNA binding transcription factor activity, GO:0005634: nucleus, GO:0005783: endoplasmic reticulum, GO:0006351: transcription, DNA-dependent, GO:0006355: regulation of transcription, DNA-dependent, GO:0006986: response to unfolded protein, GO:0016020: membrane, GO:0016021: integral to membrane, GO:0030500: regulation of bone mineralization, GO:0043565: sequence-specific DNA binding, GO:0045944: positive regulation of transcription from RNA polymerase II promoter, GO:0046983: protein dimerization activity</t>
  </si>
  <si>
    <t>04916: Melanogenesis, 04962: Vasopressin-regulated water reabsorption, 05016: Huntington's disease, 05215: Prostate cancer</t>
  </si>
  <si>
    <t>68285_at</t>
  </si>
  <si>
    <t>GO:0001503: ossification, GO:0001654: eye development, GO:0001657: ureteric bud development, GO:0001707: mesoderm formation, GO:0001822: kidney development, GO:0005125: cytokine activity, GO:0005515: protein binding, GO:0005576: extracellular region, GO:0005615: extracellular space, GO:0005615: extracellular space, GO:0007275: multicellular organismal development, GO:0007389: pattern specification process, GO:0007411: axon guidance, GO:0007435: salivary gland morphogenesis, GO:0008083: growth factor activity, GO:0008201: heparin binding, GO:0008285: negative regulation of cell proliferation, GO:0009880: embryonic pattern specification, GO:0009887: organ morphogenesis, GO:0010800: positive regulation of peptidyl-threonine phosphorylation, GO:0010862: positive regulation of pathway-restricted SMAD protein phosphorylation, GO:0010942: positive regulation of cell death, GO:0030154: cell differentiation, GO:0030326: embryonic limb morphogenesis, GO:0030326: embryonic limb morphogenesis, GO:0030501: positive regulation of bone mineralization, GO:0030509: BMP signaling pathway, GO:0030509: BMP signaling pathway, GO:0030855: epithelial cell differentiation, GO:0031012: extracellular matrix, GO:0031988: membrane-bounded vesicle, GO:0034116: positive regulation of heterotypic cell-cell adhesion, GO:0034504: protein localization to nucleus, GO:0035239: tube morphogenesis, GO:0040007: growth, GO:0042325: regulation of phosphorylation, GO:0042326: negative regulation of phosphorylation, GO:0042475: odontogenesis of dentin-containing tooth, GO:0043065: positive regulation of apoptotic process, GO:0043401: steroid hormone mediated signaling pathway, GO:0043407: negative regulation of MAP kinase activity, GO:0045597: positive regulation of cell differentiation, GO:0045665: negative regulation of neuron differentiation, GO:0045665: negative regulation of neuron differentiation, GO:0045666: positive regulation of neuron differentiation, GO:0045669: positive regulation of osteoblast differentiation, GO:0045746: negative regulation of Notch signaling pathway, GO:0045786: negative regulation of cell cycle, GO:0045839: negative regulation of mitosis, GO:0045892: negative regulation of transcription, DNA-dependent, GO:0045893: positive regulation of transcription, DNA-dependent, GO:0045944: positive regulation of transcription from RNA polymerase II promoter, GO:0048468: cell development, GO:0048593: camera-type eye morphogenesis, GO:0048596: embryonic camera-type eye morphogenesis, GO:0048646: anatomical structure formation involved in morphogenesis, GO:0048754: branching morphogenesis of a tube, GO:0048762: mesenchymal cell differentiation, GO:0048812: neuron projection morphogenesis, GO:0048812: neuron projection morphogenesis, GO:0050768: negative regulation of neurogenesis, GO:0051216: cartilage development, GO:0060272: embryonic skeletal joint morphogenesis, GO:0060272: embryonic skeletal joint morphogenesis, GO:0060389: pathway-restricted SMAD protein phosphorylation, GO:0060395: SMAD protein signal transduction, GO:0060445: branching involved in salivary gland morphogenesis, GO:0060485: mesenchyme development, GO:0060548: negative regulation of cell death, GO:0060686: negative regulation of prostatic bud formation, GO:0060687: regulation of branching involved in prostate gland morphogenesis, GO:0070487: monocyte aggregation, GO:0070700: BMP receptor binding, GO:0072040: negative regulation of mesenchymal cell apoptotic process involved in nephron morphogenesis, GO:0072125: negative regulation of glomerular mesangial cell proliferation, GO:0072133: metanephric mesenchyme morphogenesis, GO:0072134: nephrogenic mesenchyme morphogenesis, GO:0072136: metanephric mesenchymal cell proliferation involved in metanephros development, GO:1900006: positive regulation of dendrite development, GO:1900106: positive regulation of hyaluranon cable assembly</t>
  </si>
  <si>
    <t>04060: Cytokine-cytokine receptor interaction, 04340: Hedgehog signaling pathway, 04350: TGF-beta signaling pathway</t>
  </si>
  <si>
    <t>73230_at</t>
  </si>
  <si>
    <t>BMP-binding endothelial regulator</t>
  </si>
  <si>
    <t>GO:0002043: blood vessel endothelial cell proliferation involved in sprouting angiogenesis, GO:0005515: protein binding, GO:0005576: extracellular region, GO:0005615: extracellular space, GO:0010594: regulation of endothelial cell migration, GO:0030514: negative regulation of BMP signaling pathway, GO:0042118: endothelial cell activation, GO:0048839: inner ear development, GO:0060393: regulation of pathway-restricted SMAD protein phosphorylation, GO:0070374: positive regulation of ERK1 and ERK2 cascade</t>
  </si>
  <si>
    <t>19378_at</t>
  </si>
  <si>
    <t>aldehyde dehydrogenase family 1, subfamily A2</t>
  </si>
  <si>
    <t>GO:0001523: retinoid metabolic process, GO:0001568: blood vessel development, GO:0001758: retinal dehydrogenase activity, GO:0001758: retinal dehydrogenase activity, GO:0001936: regulation of endothelial cell proliferation, GO:0001947: heart looping, GO:0002138: retinoic acid biosynthetic process, GO:0003007: heart morphogenesis, GO:0004028: 3-chloroallyl aldehyde dehydrogenase activity, GO:0005634: nucleus, GO:0005737: cytoplasm, GO:0005829: cytosol, GO:0007507: heart development, GO:0008152: metabolic process, GO:0008284: positive regulation of cell proliferation, GO:0008285: negative regulation of cell proliferation, GO:0009855: determination of bilateral symmetry, GO:0009952: anterior/posterior pattern specification, GO:0009952: anterior/posterior pattern specification, GO:0009954: proximal/distal pattern formation, GO:0010628: positive regulation of gene expression, GO:0014032: neural crest cell development, GO:0014032: neural crest cell development, GO:0016331: morphogenesis of embryonic epithelium, GO:0016491: oxidoreductase activity, GO:0016620: oxidoreductase activity, acting on the aldehyde or oxo group of donors, NAD or NADP as acceptor, GO:0016918: retinal binding, GO:0021915: neural tube development, GO:0030182: neuron differentiation, GO:0030324: lung development, GO:0030326: embryonic limb morphogenesis, GO:0030900: forebrain development, GO:0030902: hindbrain development, GO:0031016: pancreas development, GO:0031076: embryonic camera-type eye development, GO:0034097: response to cytokine stimulus, GO:0035115: embryonic forelimb morphogenesis, GO:0035799: ureter maturation, GO:0042573: retinoic acid metabolic process, GO:0042573: retinoic acid metabolic process, GO:0042573: retinoic acid metabolic process, GO:0042574: retinal metabolic process, GO:0042904: 9-cis-retinoic acid biosynthetic process, GO:0043010: camera-type eye development, GO:0043065: positive regulation of apoptotic process, GO:0048384: retinoic acid receptor signaling pathway, GO:0048384: retinoic acid receptor signaling pathway, GO:0048471: perinuclear region of cytoplasm, GO:0048566: embryonic digestive tract development, GO:0055114: oxidation-reduction process, GO:0060324: face development, GO:0060324: face development</t>
  </si>
  <si>
    <t>GO:0005576: extracellular region, GO:0005578: proteinaceous extracellular matrix, GO:0007155: cell adhesion, GO:0007155: cell adhesion, GO:0008201: heparin binding, GO:0008593: regulation of Notch signaling pathway, GO:0009888: tissue development, GO:0030198: extracellular matrix organization</t>
  </si>
  <si>
    <t>68190_at</t>
  </si>
  <si>
    <t>RIKEN cDNA 5330426P16 gene</t>
  </si>
  <si>
    <t>100861572_at</t>
  </si>
  <si>
    <t>Im snoRNA 3</t>
  </si>
  <si>
    <t>71934_at</t>
  </si>
  <si>
    <t>carbonic anhydrase 13</t>
  </si>
  <si>
    <t>GO:0004089: carbonate dehydratase activity, GO:0006730: one-carbon metabolic process, GO:0008270: zinc ion binding, GO:0016829: lyase activity, GO:0046872: metal ion binding</t>
  </si>
  <si>
    <t>00910: Nitrogen metabolism</t>
  </si>
  <si>
    <t>97440_at</t>
  </si>
  <si>
    <t>UDP-GlcNAc:betaGal beta-1,3-N-acetylglucosaminyltransferase 9, pseudogene</t>
  </si>
  <si>
    <t>170460_at</t>
  </si>
  <si>
    <t>StAR-related lipid transfer (START) domain containing 5</t>
  </si>
  <si>
    <t>GO:0006694: steroid biosynthetic process, GO:0006810: transport, GO:0006869: lipid transport, GO:0008289: lipid binding, GO:0015485: cholesterol binding, GO:0017127: cholesterol transporter activity, GO:0030301: cholesterol transport</t>
  </si>
  <si>
    <t>70045_at</t>
  </si>
  <si>
    <t>RIKEN cDNA 2610528A11 gene</t>
  </si>
  <si>
    <t>56741_at</t>
  </si>
  <si>
    <t>immunoglobulin superfamily, DCC subclass, member 4</t>
  </si>
  <si>
    <t>GO:0003674: molecular_function, GO:0005886: plasma membrane, GO:0005887: integral to plasma membrane, GO:0008150: biological_process, GO:0016020: membrane, GO:0016021: integral to membrane</t>
  </si>
  <si>
    <t>170676_at</t>
  </si>
  <si>
    <t>paternally expressed 10</t>
  </si>
  <si>
    <t>GO:0001890: placenta development, GO:0003676: nucleic acid binding, GO:0003677: DNA binding, GO:0005634: nucleus, GO:0005737: cytoplasm, GO:0006915: apoptotic process, GO:0008270: zinc ion binding, GO:0030154: cell differentiation, GO:0030512: negative regulation of transforming growth factor beta receptor signaling pathway, GO:0046872: metal ion binding</t>
  </si>
  <si>
    <t>11906_at</t>
  </si>
  <si>
    <t>zinc finger homeobox 3</t>
  </si>
  <si>
    <t>GO:0003824: catalytic activity, GO:0004114: 3',5'-cyclic-nucleotide phosphodiesterase activity, GO:0004115: 3',5'-cyclic-AMP phosphodiesterase activity, GO:0004115: 3',5'-cyclic-AMP phosphodiesterase activity, GO:0007165: signal transduction, GO:0008081: phosphoric diester hydrolase activity, GO:0008152: metabolic process, GO:0008152: metabolic process, GO:0016787: hydrolase activity, GO:0046872: metal ion binding</t>
  </si>
  <si>
    <t>16574_at</t>
  </si>
  <si>
    <t>kinesin family member 5C</t>
  </si>
  <si>
    <t>GO:0000122: negative regulation of transcription from RNA polymerase II promoter, GO:0003677: DNA binding, GO:0005634: nucleus, GO:0005667: transcription factor complex, GO:0005737: cytoplasm, GO:0005739: mitochondrion, GO:0019899: enzyme binding, GO:0044212: transcription regulatory region DNA binding, GO:0045662: negative regulation of myoblast differentiation, GO:0045663: positive regulation of myoblast differentiation, GO:0045892: negative regulation of transcription, DNA-dependent</t>
  </si>
  <si>
    <t>13175_at</t>
  </si>
  <si>
    <t>doublecortin-like kinase 1</t>
  </si>
  <si>
    <t>GO:0000166: nucleotide binding, GO:0001764: neuron migration, GO:0004672: protein kinase activity, GO:0004674: protein serine/threonine kinase activity, GO:0005524: ATP binding, GO:0005622: intracellular, GO:0006468: protein phosphorylation, GO:0007275: multicellular organismal development, GO:0007399: nervous system development, GO:0007409: axonogenesis, GO:0007420: brain development, GO:0016301: kinase activity, GO:0016310: phosphorylation, GO:0016740: transferase activity, GO:0016772: transferase activity, transferring phosphorus-containing groups, GO:0021952: central nervous system projection neuron axonogenesis, GO:0030154: cell differentiation, GO:0030900: forebrain development, GO:0035556: intracellular signal transduction, GO:0048675: axon extension, GO:0048813: dendrite morphogenesis</t>
  </si>
  <si>
    <t>17132_at</t>
  </si>
  <si>
    <t>avian musculoaponeurotic fibrosarcoma (v-maf) AS42 oncogene homolog</t>
  </si>
  <si>
    <t>723833_at</t>
  </si>
  <si>
    <t>microRNA 300</t>
  </si>
  <si>
    <t>50706_at</t>
  </si>
  <si>
    <t>periostin, osteoblast specific factor</t>
  </si>
  <si>
    <t>GO:0000166: nucleotide binding, GO:0003777: microtubule motor activity, GO:0005515: protein binding, GO:0005524: ATP binding, GO:0005737: cytoplasm, GO:0005856: cytoskeleton, GO:0005871: kinesin complex, GO:0005871: kinesin complex, GO:0005874: microtubule, GO:0007018: microtubule-based movement, GO:0008045: motor axon guidance, GO:0034190: apolipoprotein receptor binding, GO:0035253: ciliary rootlet, GO:0043005: neuron projection</t>
  </si>
  <si>
    <t>71086_at</t>
  </si>
  <si>
    <t>RIKEN cDNA 4933412E12 gene</t>
  </si>
  <si>
    <t>14451_at</t>
  </si>
  <si>
    <t>growth arrest specific 1</t>
  </si>
  <si>
    <t>GO:0000122: negative regulation of transcription from RNA polymerase II promoter, GO:0000981: sequence-specific DNA binding RNA polymerase II transcription factor activity, GO:0001816: cytokine production, GO:0002088: lens development in camera-type eye, GO:0003677: DNA binding, GO:0003690: double-stranded DNA binding, GO:0003700: sequence-specific DNA binding transcription factor activity, GO:0005515: protein binding, GO:0005634: nucleus, GO:0005737: cytoplasm, GO:0006351: transcription, DNA-dependent, GO:0006355: regulation of transcription, DNA-dependent, GO:0006366: transcription from RNA polymerase II promoter, GO:0010628: positive regulation of gene expression, GO:0032330: regulation of chondrocyte differentiation, GO:0042803: protein homodimerization activity, GO:0043565: sequence-specific DNA binding, GO:0045944: positive regulation of transcription from RNA polymerase II promoter, GO:0045944: positive regulation of transcription from RNA polymerase II promoter, GO:0045944: positive regulation of transcription from RNA polymerase II promoter, GO:0046982: protein heterodimerization activity, GO:0048468: cell development, GO:0048839: inner ear development, GO:0070306: lens fiber cell differentiation</t>
  </si>
  <si>
    <t>29863_at</t>
  </si>
  <si>
    <t>phosphodiesterase 7B</t>
  </si>
  <si>
    <t>GO:0002053: positive regulation of mesenchymal cell proliferation, GO:0005515: protein binding, GO:0005886: plasma membrane, GO:0005886: plasma membrane, GO:0007049: cell cycle, GO:0007050: cell cycle arrest, GO:0007411: axon guidance, GO:0008284: positive regulation of cell proliferation, GO:0008589: regulation of smoothened signaling pathway, GO:0009953: dorsal/ventral pattern formation, GO:0010955: negative regulation of protein processing, GO:0012501: programmed cell death, GO:0016020: membrane, GO:0021587: cerebellum morphogenesis, GO:0021904: dorsal/ventral neural tube patterning, GO:0021904: dorsal/ventral neural tube patterning, GO:0030308: negative regulation of cell growth, GO:0031225: anchored to membrane, GO:0042473: outer ear morphogenesis, GO:0042474: middle ear morphogenesis, GO:0042476: odontogenesis, GO:0042733: embryonic digit morphogenesis, GO:0042733: embryonic digit morphogenesis, GO:0042981: regulation of apoptotic process, GO:0043010: camera-type eye development, GO:0043066: negative regulation of apoptotic process, GO:0045165: cell fate commitment, GO:0045165: cell fate commitment, GO:0045749: negative regulation of S phase of mitotic cell cycle, GO:0045879: negative regulation of smoothened signaling pathway, GO:0045880: positive regulation of smoothened signaling pathway, GO:0045880: positive regulation of smoothened signaling pathway, GO:0045930: negative regulation of mitotic cell cycle, GO:0046658: anchored to plasma membrane, GO:0046658: anchored to plasma membrane, GO:0048589: developmental growth, GO:0048592: eye morphogenesis, GO:0048598: embryonic morphogenesis, GO:0048598: embryonic morphogenesis, GO:0048701: embryonic cranial skeleton morphogenesis, GO:0048701: embryonic cranial skeleton morphogenesis, GO:0048706: embryonic skeletal system development, GO:0048706: embryonic skeletal system development, GO:0050679: positive regulation of epithelial cell proliferation, GO:0050680: negative regulation of epithelial cell proliferation, GO:0060021: palate development, GO:0060628: regulation of ER to Golgi vesicle-mediated transport</t>
  </si>
  <si>
    <t>04340: Hedgehog signaling pathway</t>
  </si>
  <si>
    <t>14696_at</t>
  </si>
  <si>
    <t>guanine nucleotide binding protein (G protein), beta 4</t>
  </si>
  <si>
    <t>GO:0003924: GTPase activity, GO:0004871: signal transducer activity, GO:0005834: heterotrimeric G-protein complex, GO:0007165: signal transduction, GO:0007186: G-protein coupled receptor signaling pathway</t>
  </si>
  <si>
    <t>68312_at</t>
  </si>
  <si>
    <t>glutathione S-transferase, mu 7</t>
  </si>
  <si>
    <t>GO:0003674: molecular_function, GO:0004364: glutathione transferase activity, GO:0005575: cellular_component, GO:0005737: cytoplasm, GO:0008150: biological_process, GO:0008152: metabolic process, GO:0016740: transferase activity</t>
  </si>
  <si>
    <t>00480: Glutathione metabolism, 00980: Metabolism of xenobiotics by cytochrome P450, 00982: Drug metabolism - cytochrome P450</t>
  </si>
  <si>
    <t>11858_at</t>
  </si>
  <si>
    <t>Rho family GTPase 2</t>
  </si>
  <si>
    <t>GO:0000166: nucleotide binding, GO:0005515: protein binding, GO:0005525: GTP binding, GO:0005622: intracellular, GO:0005769: early endosome, GO:0007264: small GTPase mediated signal transduction, GO:0016020: membrane, GO:0031410: cytoplasmic vesicle, GO:0047485: protein N-terminus binding</t>
  </si>
  <si>
    <t>242202_at</t>
  </si>
  <si>
    <t>phosphodiesterase 5A, cGMP-specific</t>
  </si>
  <si>
    <t>GO:0000166: nucleotide binding, GO:0002026: regulation of the force of heart contraction, GO:0002678: positive regulation of chronic inflammatory response, GO:0003824: catalytic activity, GO:0004112: cyclic-nucleotide phosphodiesterase activity, GO:0004114: 3',5'-cyclic-nucleotide phosphodiesterase activity, GO:0005829: cytosol, GO:0007165: signal transduction, GO:0007614: short-term memory, GO:0008081: phosphoric diester hydrolase activity, GO:0008152: metabolic process, GO:0010613: positive regulation of cardiac muscle hypertrophy, GO:0016787: hydrolase activity, GO:0030553: cGMP binding, GO:0042130: negative regulation of T cell proliferation, GO:0043065: positive regulation of apoptotic process, GO:0043406: positive regulation of MAP kinase activity, GO:0045745: positive regulation of G-protein coupled receptor protein signaling pathway, GO:0045907: positive regulation of vasoconstriction, GO:0046068: cGMP metabolic process, GO:0046069: cGMP catabolic process, GO:0046069: cGMP catabolic process, GO:0046872: metal ion binding, GO:0047555: 3',5'-cyclic-GMP phosphodiesterase activity, GO:0055118: negative regulation of cardiac muscle contraction, GO:0055119: relaxation of cardiac muscle, GO:0060282: positive regulation of oocyte development, GO:0060282: positive regulation of oocyte development</t>
  </si>
  <si>
    <t>76429_at</t>
  </si>
  <si>
    <t>phospholysine phosphohistidine inorganic pyrophosphate phosphatase</t>
  </si>
  <si>
    <t>GO:0004427: inorganic diphosphatase activity, GO:0005634: nucleus, GO:0005737: cytoplasm, GO:0005829: cytosol, GO:0006796: phosphate-containing compound metabolic process, GO:0008152: metabolic process, GO:0016787: hydrolase activity, GO:0042803: protein homodimerization activity, GO:0046872: metal ion binding</t>
  </si>
  <si>
    <t>00190: Oxidative phosphorylation</t>
  </si>
  <si>
    <t>118452_at</t>
  </si>
  <si>
    <t>brain and acute leukemia, cytoplasmic</t>
  </si>
  <si>
    <t>GO:0003674: molecular_function, GO:0005634: nucleus, GO:0005737: cytoplasm, GO:0005737: cytoplasm, GO:0005737: cytoplasm, GO:0005813: centrosome, GO:0008150: biological_process, GO:0016020: membrane</t>
  </si>
  <si>
    <t>GO:0003674: molecular_function, GO:0005575: cellular_component, GO:0008150: biological_process, GO:0008270: zinc ion binding, GO:0046872: metal ion binding</t>
  </si>
  <si>
    <t>109264_at</t>
  </si>
  <si>
    <t>malic enzyme 3, NADP(+)-dependent, mitochondrial</t>
  </si>
  <si>
    <t>GO:0000166: nucleotide binding, GO:0004470: malic enzyme activity, GO:0004473: malate dehydrogenase (oxaloacetate-decarboxylating) (NADP+) activity, GO:0005739: mitochondrion, GO:0006090: pyruvate metabolic process, GO:0006108: malate metabolic process, GO:0016491: oxidoreductase activity, GO:0016616: oxidoreductase activity, acting on the CH-OH group of donors, NAD or NADP as acceptor, GO:0016619: malate dehydrogenase (oxaloacetate-decarboxylating) activity, GO:0046872: metal ion binding, GO:0051287: NAD binding, GO:0055114: oxidation-reduction process</t>
  </si>
  <si>
    <t>00620: Pyruvate metabolism, 01100: Metabolic pathways</t>
  </si>
  <si>
    <t>14089_at</t>
  </si>
  <si>
    <t>fibroblast activation protein</t>
  </si>
  <si>
    <t>GO:0001501: skeletal system development, GO:0003323: type B pancreatic cell development, GO:0005515: protein binding, GO:0005576: extracellular region, GO:0005615: extracellular space, GO:0007389: pattern specification process, GO:0008083: growth factor activity, GO:0008285: negative regulation of cell proliferation, GO:0010862: positive regulation of pathway-restricted SMAD protein phosphorylation, GO:0010894: negative regulation of steroid biosynthetic process, GO:0030539: male genitalia development, GO:0031988: membrane-bounded vesicle, GO:0032348: negative regulation of aldosterone biosynthetic process, GO:0043569: negative regulation of insulin-like growth factor receptor signaling pathway, GO:0045944: positive regulation of transcription from RNA polymerase II promoter, GO:0050679: positive regulation of epithelial cell proliferation, GO:0070700: BMP receptor binding, GO:1900006: positive regulation of dendrite development, GO:2000065: negative regulation of cortisol biosynthetic process, GO:2000105: positive regulation of DNA-dependent DNA replication</t>
  </si>
  <si>
    <t>04340: Hedgehog signaling pathway, 04350: TGF-beta signaling pathway</t>
  </si>
  <si>
    <t>17076_at</t>
  </si>
  <si>
    <t>lymphocyte antigen 75</t>
  </si>
  <si>
    <t>GO:0006897: endocytosis, GO:0009897: external side of plasma membrane, GO:0016020: membrane, GO:0016021: integral to membrane, GO:0030246: carbohydrate binding</t>
  </si>
  <si>
    <t>237091_at</t>
  </si>
  <si>
    <t>11722_at</t>
  </si>
  <si>
    <t>amylase 1, salivary</t>
  </si>
  <si>
    <t>GO:0003824: catalytic activity, GO:0004556: alpha-amylase activity, GO:0005576: extracellular region, GO:0005615: extracellular space, GO:0005615: extracellular space, GO:0005975: carbohydrate metabolic process, GO:0008152: metabolic process, GO:0016160: amylase activity, GO:0016787: hydrolase activity, GO:0016798: hydrolase activity, acting on glycosyl bonds, GO:0043169: cation binding, GO:0046872: metal ion binding</t>
  </si>
  <si>
    <t>00500: Starch and sucrose metabolism, 01100: Metabolic pathways, 04973: Carbohydrate digestion and absorption</t>
  </si>
  <si>
    <t>68846_at</t>
  </si>
  <si>
    <t>ring finger protein 208</t>
  </si>
  <si>
    <t>00140: Steroid hormone biosynthesis, 00380: Tryptophan metabolism, 00980: Metabolism of xenobiotics by cytochrome P450</t>
  </si>
  <si>
    <t>94040_at</t>
  </si>
  <si>
    <t>calmin</t>
  </si>
  <si>
    <t>GO:0003674: molecular_function, GO:0003779: actin binding, GO:0005737: cytoplasm, GO:0008285: negative regulation of cell proliferation, GO:0016020: membrane, GO:0016021: integral to membrane, GO:0031175: neuron projection development</t>
  </si>
  <si>
    <t>17286_at</t>
  </si>
  <si>
    <t>mesenchyme homeobox 2</t>
  </si>
  <si>
    <t>GO:0002020: protease binding, GO:0004175: endopeptidase activity, GO:0004252: serine-type endopeptidase activity, GO:0005615: extracellular space, GO:0005886: plasma membrane, GO:0006508: proteolysis, GO:0008233: peptidase activity, GO:0008233: peptidase activity, GO:0008236: serine-type peptidase activity, GO:0010716: negative regulation of extracellular matrix disassembly, GO:0016020: membrane, GO:0016021: integral to membrane, GO:0016787: hydrolase activity, GO:0030027: lamellipodium, GO:0030054: cell junction, GO:0042995: cell projection, GO:0043542: endothelial cell migration</t>
  </si>
  <si>
    <t>12160_at</t>
  </si>
  <si>
    <t>bone morphogenetic protein 5</t>
  </si>
  <si>
    <t>GO:0001525: angiogenesis, GO:0001757: somite specification, GO:0003677: DNA binding, GO:0003700: sequence-specific DNA binding transcription factor activity, GO:0005634: nucleus, GO:0005737: cytoplasm, GO:0006355: regulation of transcription, DNA-dependent, GO:0007275: multicellular organismal development, GO:0007519: skeletal muscle tissue development, GO:0043565: sequence-specific DNA binding, GO:0060021: palate development, GO:0060173: limb development</t>
  </si>
  <si>
    <t>79362_at</t>
  </si>
  <si>
    <t>basic helix-loop-helix family, member e41</t>
  </si>
  <si>
    <t>lipoma HMGIC fusion partner-like 1</t>
  </si>
  <si>
    <t>13078_at</t>
  </si>
  <si>
    <t>cytochrome P450, family 1, subfamily b, polypeptide 1</t>
  </si>
  <si>
    <t>GO:0001525: angiogenesis, GO:0004497: monooxygenase activity, GO:0005506: iron ion binding, GO:0005783: endoplasmic reticulum, GO:0006725: cellular aromatic compound metabolic process, GO:0006725: cellular aromatic compound metabolic process, GO:0006725: cellular aromatic compound metabolic process, GO:0008210: estrogen metabolic process, GO:0009055: electron carrier activity, GO:0009404: toxin metabolic process, GO:0009636: response to toxin, GO:0016020: membrane, GO:0016491: oxidoreductase activity, GO:0016705: oxidoreductase activity, acting on paired donors, with incorporation or reduction of molecular oxygen, GO:0016712: oxidoreductase activity, acting on paired donors, with incorporation or reduction of molecular oxygen, reduced flavin or flavoprotein as one donor, and incorporation of one atom of oxygen, GO:0016712: oxidoreductase activity, acting on paired donors, with incorporation or reduction of molecular oxygen, reduced flavin or flavoprotein as one donor, and incorporation of one atom of oxygen, GO:0020037: heme binding, GO:0043231: intracellular membrane-bounded organelle, GO:0043542: endothelial cell migration, GO:0046872: metal ion binding, GO:0055114: oxidation-reduction process, GO:0061298: retina vasculature development in camera-type eye, GO:0070330: aromatase activity, GO:0071603: endothelial cell-cell adhesion</t>
  </si>
  <si>
    <t>GO:0000122: negative regulation of transcription from RNA polymerase II promoter, GO:0000122: negative regulation of transcription from RNA polymerase II promoter, GO:0000122: negative regulation of transcription from RNA polymerase II promoter, GO:0000978: RNA polymerase II core promoter proximal region sequence-specific DNA binding, GO:0000981: sequence-specific DNA binding RNA polymerase II transcription factor activity, GO:0001078: RNA polymerase II core promoter proximal region sequence-specific DNA binding transcription factor activity involved in negative regulation of transcription, GO:0001102: RNA polymerase II activating transcription factor binding, GO:0001102: RNA polymerase II activating transcription factor binding, GO:0001191: RNA polymerase II transcription factor binding transcription factor activity involved in negative regulation of transcription, GO:0003677: DNA binding, GO:0003705: RNA polymerase II distal enhancer sequence-specific DNA binding transcription factor activity, GO:0003714: transcription corepressor activity, GO:0005634: nucleus, GO:0006351: transcription, DNA-dependent, GO:0006355: regulation of transcription, DNA-dependent, GO:0009649: entrainment of circadian clock, GO:0010832: negative regulation of myotube differentiation, GO:0010944: negative regulation of transcription by competitive promoter binding, GO:0017053: transcriptional repressor complex, GO:0032922: circadian regulation of gene expression, GO:0042803: protein homodimerization activity, GO:0042826: histone deacetylase binding, GO:0043425: bHLH transcription factor binding, GO:0043425: bHLH transcription factor binding, GO:0043425: bHLH transcription factor binding, GO:0043426: MRF binding, GO:0046982: protein heterodimerization activity, GO:0046982: protein heterodimerization activity, GO:0046982: protein heterodimerization activity, GO:0046983: protein dimerization activity, GO:0070888: E-box binding, GO:0070888: E-box binding</t>
  </si>
  <si>
    <t>98878_at</t>
  </si>
  <si>
    <t>EH-domain containing 4</t>
  </si>
  <si>
    <t>GO:0001968: fibronectin binding, GO:0001974: blood vessel remodeling, GO:0007155: cell adhesion, GO:0007157: heterophilic cell-cell adhesion, GO:0007159: leukocyte cell-cell adhesion, GO:0007159: leukocyte cell-cell adhesion, GO:0007160: cell-matrix adhesion, GO:0007229: integrin-mediated signaling pathway, GO:0007507: heart development, GO:0008305: integrin complex, GO:0009897: external side of plasma membrane, GO:0009986: cell surface, GO:0009986: cell surface, GO:0016020: membrane, GO:0016021: integral to membrane, GO:0016337: cell-cell adhesion, GO:0016477: cell migration, GO:0060324: face development, GO:0060485: mesenchyme development, GO:0060710: chorio-allantoic fusion, GO:0061032: visceral serous pericardium development</t>
  </si>
  <si>
    <t>04510: Focal adhesion, 04512: ECM-receptor interaction, 04514: Cell adhesion molecules (CAMs), 04640: Hematopoietic cell lineage, 04670: Leukocyte transendothelial migration, 04672: Intestinal immune network for IgA production, 04810: Regulation of actin cytoskeleton, 05140: Leishmaniasis, 05410: Hypertrophic cardiomyopathy (HCM), 05412: Arrhythmogenic right ventricular cardiomyopathy (ARVC), 05414: Dilated cardiomyopathy</t>
  </si>
  <si>
    <t>53881_at</t>
  </si>
  <si>
    <t>solute carrier family 5 (inositol transporters), member 3</t>
  </si>
  <si>
    <t>GO:0004872: receptor activity, GO:0004872: receptor activity, GO:0005178: integrin binding, GO:0005615: extracellular space, GO:0005886: plasma membrane, GO:0007169: transmembrane receptor protein tyrosine kinase signaling pathway, GO:0007399: nervous system development, GO:0009653: anatomical structure morphogenesis, GO:0009897: external side of plasma membrane, GO:0016020: membrane, GO:0016477: cell migration, GO:0019898: extrinsic to membrane, GO:0030182: neuron differentiation, GO:0030424: axon, GO:0031175: neuron projection development, GO:0031225: anchored to membrane, GO:0043025: neuronal cell body, GO:0043235: receptor complex</t>
  </si>
  <si>
    <t>20716_at</t>
  </si>
  <si>
    <t>serine (or cysteine) peptidase inhibitor, clade A, member 3N</t>
  </si>
  <si>
    <t>GO:0000166: nucleotide binding, GO:0003924: GTPase activity, GO:0005509: calcium ion binding, GO:0005515: protein binding, GO:0005524: ATP binding, GO:0005525: GTP binding, GO:0005768: endosome, GO:0005783: endoplasmic reticulum, GO:0005886: plasma membrane, GO:0006184: GTP catabolic process, GO:0006907: pinocytosis, GO:0016020: membrane, GO:0030100: regulation of endocytosis, GO:0032456: endocytic recycling, GO:0048471: perinuclear region of cytoplasm, GO:0050731: positive regulation of peptidyl-tyrosine phosphorylation, GO:0051260: protein homooligomerization, GO:0055038: recycling endosome membrane, GO:0071363: cellular response to growth factor stimulus</t>
  </si>
  <si>
    <t>16401_at</t>
  </si>
  <si>
    <t>integrin alpha 4</t>
  </si>
  <si>
    <t>GO:0005125: cytokine activity, GO:0005576: extracellular region, GO:0005615: extracellular space, GO:0008083: growth factor activity, GO:0010862: positive regulation of pathway-restricted SMAD protein phosphorylation, GO:0030509: BMP signaling pathway, GO:0030509: BMP signaling pathway, GO:0030509: BMP signaling pathway, GO:0032924: activin receptor signaling pathway, GO:0040007: growth, GO:0042803: protein homodimerization activity, GO:0045666: positive regulation of neuron differentiation, GO:0045893: positive regulation of transcription, DNA-dependent, GO:0060389: pathway-restricted SMAD protein phosphorylation</t>
  </si>
  <si>
    <t>12583_at</t>
  </si>
  <si>
    <t>cysteine dioxygenase 1, cytosolic</t>
  </si>
  <si>
    <t>GO:0005634: nucleus, GO:0005730: nucleolus, GO:0005737: cytoplasm, GO:0006810: transport, GO:0008430: selenium binding, GO:0015031: protein transport, GO:0016020: membrane, GO:0050873: brown fat cell differentiation</t>
  </si>
  <si>
    <t>14585_at</t>
  </si>
  <si>
    <t>glial cell line derived neurotrophic factor family receptor alpha 1</t>
  </si>
  <si>
    <t>GO:0005506: iron ion binding, GO:0005829: cytosol, GO:0007595: lactation, GO:0008198: ferrous iron binding, GO:0010243: response to organic nitrogen, GO:0016491: oxidoreductase activity, GO:0016702: oxidoreductase activity, acting on single donors with incorporation of molecular oxygen, incorporation of two atoms of oxygen, GO:0017172: cysteine dioxygenase activity, GO:0017172: cysteine dioxygenase activity, GO:0019448: L-cysteine catabolic process, GO:0019452: L-cysteine catabolic process to taurine, GO:0019530: taurine metabolic process, GO:0033762: response to glucagon stimulus, GO:0043200: response to amino acid stimulus, GO:0045471: response to ethanol, GO:0046439: L-cysteine metabolic process, GO:0046872: metal ion binding, GO:0051384: response to glucocorticoid stimulus, GO:0051591: response to cAMP, GO:0055114: oxidation-reduction process</t>
  </si>
  <si>
    <t>00270: Cysteine and methionine metabolism, 00430: Taurine and hypotaurine metabolism, 01100: Metabolic pathways</t>
  </si>
  <si>
    <t>100861902_at</t>
  </si>
  <si>
    <t>uncharacterized LOC100861902</t>
  </si>
  <si>
    <t>208890_at</t>
  </si>
  <si>
    <t>solute carrier family 26, member 7</t>
  </si>
  <si>
    <t>GO:0004867: serine-type endopeptidase inhibitor activity, GO:0005576: extracellular region, GO:0005615: extracellular space, GO:0010951: negative regulation of endopeptidase activity, GO:0030162: regulation of proteolysis, GO:0034097: response to cytokine stimulus, GO:0043434: response to peptide hormone stimulus</t>
  </si>
  <si>
    <t>16775_at</t>
  </si>
  <si>
    <t>laminin, alpha 4</t>
  </si>
  <si>
    <t>04510: Focal adhesion, 04512: ECM-receptor interaction, 05143: African trypanosomiasis, 05145: Toxoplasmosis, 05146: Amoebiasis, 05200: Pathways in cancer, 05222: Small cell lung cancer</t>
  </si>
  <si>
    <t>59308_at</t>
  </si>
  <si>
    <t>endomucin</t>
  </si>
  <si>
    <t>GO:0016020: membrane, GO:0016021: integral to membrane, GO:0016021: integral to membrane</t>
  </si>
  <si>
    <t>242316_at</t>
  </si>
  <si>
    <t>growth differentiation factor 6</t>
  </si>
  <si>
    <t>GO:0001696: gastric acid secretion, GO:0005253: anion channel activity, GO:0005254: chloride channel activity, GO:0005254: chloride channel activity, GO:0005737: cytoplasm, GO:0005768: endosome, GO:0005886: plasma membrane, GO:0006810: transport, GO:0006811: ion transport, GO:0006820: anion transport, GO:0006820: anion transport, GO:0006821: chloride transport, GO:0006821: chloride transport, GO:0008272: sulfate transport, GO:0015106: bicarbonate transmembrane transporter activity, GO:0015116: sulfate transmembrane transporter activity, GO:0015301: anion:anion antiporter activity, GO:0015701: bicarbonate transport, GO:0016020: membrane, GO:0016021: integral to membrane, GO:0016323: basolateral plasma membrane, GO:0016323: basolateral plasma membrane, GO:0019531: oxalate transmembrane transporter activity, GO:0019532: oxalate transport, GO:0034220: ion transmembrane transport, GO:0034220: ion transmembrane transport, GO:0055085: transmembrane transport</t>
  </si>
  <si>
    <t>212539_at</t>
  </si>
  <si>
    <t>predicted gene 266</t>
  </si>
  <si>
    <t>231440_at</t>
  </si>
  <si>
    <t>prostate androgen-regulated mucin-like protein 1</t>
  </si>
  <si>
    <t>GO:0005215: transporter activity, GO:0006020: inositol metabolic process, GO:0006810: transport, GO:0006811: ion transport, GO:0006814: sodium ion transport, GO:0007422: peripheral nervous system development, GO:0015293: symporter activity, GO:0015798: myo-inositol transport, GO:0016020: membrane, GO:0016021: integral to membrane, GO:0043576: regulation of respiratory gaseous exchange, GO:0055085: transmembrane transport</t>
  </si>
  <si>
    <t>20341_at</t>
  </si>
  <si>
    <t>selenium binding protein 1</t>
  </si>
  <si>
    <t>polo-like kinase 2</t>
  </si>
  <si>
    <t>GO:0000082: G1/S transition of mitotic cell cycle, GO:0000166: nucleotide binding, GO:0000278: mitotic cell cycle, GO:0004672: protein kinase activity, GO:0004674: protein serine/threonine kinase activity, GO:0004674: protein serine/threonine kinase activity, GO:0004871: signal transducer activity, GO:0005524: ATP binding, GO:0005622: intracellular, GO:0005737: cytoplasm, GO:0005813: centrosome, GO:0005814: centriole, GO:0005856: cytoskeleton, GO:0006468: protein phosphorylation, GO:0006468: protein phosphorylation, GO:0007052: mitotic spindle organization, GO:0007093: mitotic cell cycle checkpoint, GO:0007165: signal transduction, GO:0007265: Ras protein signal transduction, GO:0007613: memory, GO:0016301: kinase activity, GO:0016310: phosphorylation, GO:0016740: transferase activity, GO:0016772: transferase activity, transferring phosphorus-containing groups, GO:0030425: dendrite, GO:0032486: Rap protein signal transduction, GO:0042995: cell projection, GO:0043066: negative regulation of apoptotic process, GO:0043123: positive regulation of I-kappaB kinase/NF-kappaB cascade, GO:0046599: regulation of centriole replication, GO:0048167: regulation of synaptic plasticity, GO:0048167: regulation of synaptic plasticity, GO:0060291: long-term synaptic potentiation, GO:0060292: long term synaptic depression</t>
  </si>
  <si>
    <t>16975_at</t>
  </si>
  <si>
    <t>low density lipoprotein receptor-related protein 8, apolipoprotein e receptor</t>
  </si>
  <si>
    <t>GO:0001568: blood vessel development, GO:0005102: receptor binding, GO:0005576: extracellular region, GO:0005578: proteinaceous extracellular matrix, GO:0005604: basement membrane, GO:0005604: basement membrane, GO:0005605: basal lamina, GO:0005606: laminin-1 complex, GO:0007155: cell adhesion, GO:0030155: regulation of cell adhesion, GO:0030334: regulation of cell migration, GO:0045995: regulation of embryonic development, GO:0050873: brown fat cell differentiation</t>
  </si>
  <si>
    <t>GO:0000122: negative regulation of transcription from RNA polymerase II promoter, GO:0001948: glycoprotein binding, GO:0005041: low-density lipoprotein receptor activity, GO:0005509: calcium ion binding, GO:0005515: protein binding, GO:0005576: extracellular region, GO:0005615: extracellular space, GO:0005875: microtubule associated complex, GO:0005886: plasma membrane, GO:0005901: caveola, GO:0006897: endocytosis, GO:0006898: receptor-mediated endocytosis, GO:0006898: receptor-mediated endocytosis, GO:0008035: high-density lipoprotein particle binding, GO:0014069: postsynaptic density, GO:0016020: membrane, GO:0016021: integral to membrane, GO:0019894: kinesin binding, GO:0021541: ammon gyrus development, GO:0021766: hippocampus development, GO:0021819: layer formation in cerebral cortex, GO:0030229: very-low-density lipoprotein particle receptor activity, GO:0030425: dendrite, GO:0032793: positive regulation of CREB transcription factor activity, GO:0033267: axon part, GO:0034185: apolipoprotein binding, GO:0038025: reelin receptor activity, GO:0038026: reelin-mediated signaling pathway, GO:0043025: neuronal cell body, GO:0045860: positive regulation of protein kinase activity, GO:0048306: calcium-dependent protein binding, GO:0050731: positive regulation of peptidyl-tyrosine phosphorylation, GO:0050804: regulation of synaptic transmission, GO:0061003: positive regulation of dendritic spine morphogenesis, GO:0061098: positive regulation of protein tyrosine kinase activity, GO:1900006: positive regulation of dendrite development</t>
  </si>
  <si>
    <t>15484_at</t>
  </si>
  <si>
    <t>hydroxysteroid 11-beta dehydrogenase 2</t>
  </si>
  <si>
    <t>GO:0003674: molecular_function, GO:0005634: nucleus, GO:0005737: cytoplasm, GO:0005768: endosome, GO:0005769: early endosome, GO:0005770: late endosome, GO:0005794: Golgi apparatus, GO:0005886: plasma membrane, GO:0016020: membrane, GO:0016021: integral to membrane, GO:0043231: intracellular membrane-bounded organelle, GO:0051973: positive regulation of telomerase activity</t>
  </si>
  <si>
    <t>20620_at</t>
  </si>
  <si>
    <t>GO:0000166: nucleotide binding, GO:0002017: regulation of blood volume by renal aldosterone, GO:0003845: 11-beta-hydroxysteroid dehydrogenase [NAD(P)] activity, GO:0005496: steroid binding, GO:0005737: cytoplasm, GO:0005783: endoplasmic reticulum, GO:0008152: metabolic process, GO:0008211: glucocorticoid metabolic process, GO:0016491: oxidoreductase activity, GO:0043231: intracellular membrane-bounded organelle, GO:0051287: NAD binding, GO:0055114: oxidation-reduction process</t>
  </si>
  <si>
    <t>00140: Steroid hormone biosynthesis, 01100: Metabolic pathways, 04960: Aldosterone-regulated sodium reabsorption</t>
  </si>
  <si>
    <t>18654_at</t>
  </si>
  <si>
    <t>placental growth factor</t>
  </si>
  <si>
    <t>GO:0001525: angiogenesis, GO:0001658: branching involved in ureteric bud morphogenesis, GO:0001938: positive regulation of endothelial cell proliferation, GO:0002040: sprouting angiogenesis, GO:0005576: extracellular region, GO:0005615: extracellular space, GO:0007275: multicellular organismal development, GO:0008083: growth factor activity, GO:0008284: positive regulation of cell proliferation, GO:0016020: membrane, GO:0030154: cell differentiation, GO:0042803: protein homodimerization activity, GO:0045766: positive regulation of angiogenesis, GO:0046982: protein heterodimerization activity, GO:0051781: positive regulation of cell division, GO:0060688: regulation of morphogenesis of a branching structure</t>
  </si>
  <si>
    <t>04150: mTOR signaling pathway, 04510: Focal adhesion, 05200: Pathways in cancer, 05211: Renal cell carcinoma, 05212: Pancreatic cancer, 05219: Bladder cancer, 05323: Rheumatoid arthritis</t>
  </si>
  <si>
    <t>57329_at</t>
  </si>
  <si>
    <t>otoraplin</t>
  </si>
  <si>
    <t>GO:0001502: cartilage condensation, GO:0005576: extracellular region, GO:0005794: Golgi apparatus</t>
  </si>
  <si>
    <t>23792_at</t>
  </si>
  <si>
    <t>a disintegrin and metallopeptidase domain 23</t>
  </si>
  <si>
    <t>GO:0004222: metalloendopeptidase activity, GO:0005515: protein binding, GO:0005576: extracellular region, GO:0005886: plasma membrane, GO:0006508: proteolysis, GO:0007155: cell adhesion, GO:0007229: integrin-mediated signaling pathway, GO:0008233: peptidase activity, GO:0008237: metallopeptidase activity, GO:0008270: zinc ion binding, GO:0016020: membrane, GO:0016021: integral to membrane</t>
  </si>
  <si>
    <t>12737_at</t>
  </si>
  <si>
    <t>claudin 1</t>
  </si>
  <si>
    <t>GO:0005198: structural molecule activity, GO:0005515: protein binding, GO:0005886: plasma membrane, GO:0005923: tight junction, GO:0005923: tight junction, GO:0016020: membrane, GO:0016021: integral to membrane, GO:0016328: lateral plasma membrane, GO:0016338: calcium-independent cell-cell adhesion, GO:0030054: cell junction, GO:0042802: identical protein binding, GO:0045216: cell-cell junction organization</t>
  </si>
  <si>
    <t>751544_at</t>
  </si>
  <si>
    <t>microRNA 532</t>
  </si>
  <si>
    <t>GO:0071333: cellular response to glucose stimulus</t>
  </si>
  <si>
    <t>16206_at</t>
  </si>
  <si>
    <t>leucine-rich repeats and immunoglobulin-like domains 1</t>
  </si>
  <si>
    <t>208936_at</t>
  </si>
  <si>
    <t>a disintegrin-like and metallopeptidase (reprolysin type) with thrombospondin type 1 motif, 18</t>
  </si>
  <si>
    <t>GO:0004222: metalloendopeptidase activity, GO:0005575: cellular_component, GO:0005576: extracellular region, GO:0005578: proteinaceous extracellular matrix, GO:0006508: proteolysis, GO:0008233: peptidase activity, GO:0008237: metallopeptidase activity, GO:0008270: zinc ion binding, GO:0016787: hydrolase activity, GO:0031012: extracellular matrix, GO:0046872: metal ion binding</t>
  </si>
  <si>
    <t>18821_at</t>
  </si>
  <si>
    <t>phospholamban</t>
  </si>
  <si>
    <t>GO:0002026: regulation of the force of heart contraction, GO:0002026: regulation of the force of heart contraction, GO:0005246: calcium channel regulator activity, GO:0005515: protein binding, GO:0005739: mitochondrion, GO:0006816: calcium ion transport, GO:0006874: cellular calcium ion homeostasis, GO:0008016: regulation of heart contraction, GO:0010880: regulation of release of sequestered calcium ion into cytosol by sarcoplasmic reticulum, GO:0010881: regulation of cardiac muscle contraction by regulation of the release of sequestered calcium ion, GO:0016020: membrane, GO:0016021: integral to membrane, GO:0016529: sarcoplasmic reticulum, GO:0016529: sarcoplasmic reticulum, GO:0031982: vesicle, GO:0042030: ATPase inhibitor activity, GO:0043234: protein complex, GO:0045822: negative regulation of heart contraction, GO:0045822: negative regulation of heart contraction, GO:0048738: cardiac muscle tissue development, GO:0060314: regulation of ryanodine-sensitive calcium-release channel activity, GO:0086004: regulation of cardiac muscle cell contraction, GO:0086023: adrenergic receptor signaling pathway involved in heart process, GO:0086092: regulation of the force of heart contraction by cardiac conduction, GO:0090279: regulation of calcium ion import, GO:1901077: regulation of relaxation of muscle</t>
  </si>
  <si>
    <t>04020: Calcium signaling pathway, 05414: Dilated cardiomyopathy</t>
  </si>
  <si>
    <t>12819_at</t>
  </si>
  <si>
    <t>collagen, type XV, alpha 1</t>
  </si>
  <si>
    <t>GO:0005198: structural molecule activity, GO:0005576: extracellular region, GO:0005578: proteinaceous extracellular matrix, GO:0005581: collagen, GO:0005604: basement membrane, GO:0005615: extracellular space, GO:0007155: cell adhesion, GO:0031012: extracellular matrix</t>
  </si>
  <si>
    <t>72560_at</t>
  </si>
  <si>
    <t>N-acetylated alpha-linked acidic dipeptidase 2</t>
  </si>
  <si>
    <t>GO:0005737: cytoplasm, GO:0005886: plasma membrane, GO:0005901: caveola, GO:0016020: membrane, GO:0016021: integral to membrane, GO:0042803: protein homodimerization activity</t>
  </si>
  <si>
    <t>240479_at</t>
  </si>
  <si>
    <t>family with sequence similarity 69, member C</t>
  </si>
  <si>
    <t>GO:0003824: catalytic activity, GO:0004180: carboxypeptidase activity, GO:0006508: proteolysis, GO:0008152: metabolic process, GO:0008233: peptidase activity, GO:0008237: metallopeptidase activity, GO:0016020: membrane, GO:0016021: integral to membrane, GO:0016787: hydrolase activity, GO:0016805: dipeptidase activity, GO:0042135: neurotransmitter catabolic process, GO:0046872: metal ion binding, GO:0050129: N-formylglutamate deformylase activity</t>
  </si>
  <si>
    <t>93694_at</t>
  </si>
  <si>
    <t>C-type lectin domain family 2, member d</t>
  </si>
  <si>
    <t>GO:0004888: transmembrane signaling receptor activity, GO:0005515: protein binding, GO:0005886: plasma membrane, GO:0005887: integral to plasma membrane, GO:0006968: cellular defense response, GO:0009897: external side of plasma membrane, GO:0016020: membrane, GO:0016021: integral to membrane, GO:0030246: carbohydrate binding, GO:0042270: protection from natural killer cell mediated cytotoxicity, GO:0042270: protection from natural killer cell mediated cytotoxicity, GO:0045671: negative regulation of osteoclast differentiation, GO:0046703: natural killer cell lectin-like receptor binding</t>
  </si>
  <si>
    <t>94088_at</t>
  </si>
  <si>
    <t>tripartite motif-containing 6</t>
  </si>
  <si>
    <t>GO:0005515: protein binding, GO:0005622: intracellular, GO:0005737: cytoplasm, GO:0005737: cytoplasm, GO:0008270: zinc ion binding, GO:0046872: metal ion binding, GO:0070206: protein trimerization</t>
  </si>
  <si>
    <t>54409_at</t>
  </si>
  <si>
    <t>receptor (calcitonin) activity modifying protein 2</t>
  </si>
  <si>
    <t>GO:0003674: molecular_function, GO:0005575: cellular_component, GO:0005783: endoplasmic reticulum, GO:0008150: biological_process, GO:0016020: membrane, GO:0016021: integral to membrane</t>
  </si>
  <si>
    <t>12490_at</t>
  </si>
  <si>
    <t>CD34 antigen</t>
  </si>
  <si>
    <t>GO:0001525: angiogenesis, GO:0001570: vasculogenesis, GO:0002040: sprouting angiogenesis, GO:0005622: intracellular, GO:0005737: cytoplasm, GO:0006171: cAMP biosynthetic process, GO:0006810: transport, GO:0006816: calcium ion transport, GO:0006886: intracellular protein transport, GO:0007165: signal transduction, GO:0007186: G-protein coupled receptor signaling pathway, GO:0007507: heart development, GO:0008217: regulation of blood pressure, GO:0008277: regulation of G-protein coupled receptor protein signaling pathway, GO:0008565: protein transporter activity, GO:0009986: cell surface, GO:0010628: positive regulation of gene expression, GO:0010628: positive regulation of gene expression, GO:0015026: coreceptor activity, GO:0015026: coreceptor activity, GO:0015031: protein transport, GO:0016020: membrane, GO:0016021: integral to membrane, GO:0030819: positive regulation of cAMP biosynthetic process, GO:0031623: receptor internalization, GO:0034333: adherens junction assembly, GO:0034333: adherens junction assembly, GO:0035924: cellular response to vascular endothelial growth factor stimulus, GO:0043116: negative regulation of vascular permeability, GO:0043116: negative regulation of vascular permeability, GO:0043235: receptor complex, GO:0045766: positive regulation of angiogenesis, GO:0070830: tight junction assembly, GO:0070830: tight junction assembly, GO:0070831: basement membrane assembly, GO:0072659: protein localization to plasma membrane, GO:0097084: vascular smooth muscle cell development, GO:2000352: negative regulation of endothelial cell apoptotic process, GO:2000352: negative regulation of endothelial cell apoptotic process, GO:2001214: positive regulation of vasculogenesis</t>
  </si>
  <si>
    <t>84094_at</t>
  </si>
  <si>
    <t>plasmalemma vesicle associated protein</t>
  </si>
  <si>
    <t>GO:0001894: tissue homeostasis, GO:0001935: endothelial cell proliferation, GO:0005576: extracellular region, GO:0005737: cytoplasm, GO:0005737: cytoplasm, GO:0005886: plasma membrane, GO:0006536: glutamate metabolic process, GO:0007155: cell adhesion, GO:0008134: transcription factor binding, GO:0008217: regulation of blood pressure, GO:0009897: external side of plasma membrane, GO:0009897: external side of plasma membrane, GO:0009986: cell surface, GO:0010629: negative regulation of gene expression, GO:0016020: membrane, GO:0016021: integral to membrane, GO:0016337: cell-cell adhesion, GO:0030097: hemopoiesis, GO:0030195: negative regulation of blood coagulation, GO:0030246: carbohydrate binding, GO:0032720: negative regulation of tumor necrosis factor production, GO:0032733: positive regulation of interleukin-10 production, GO:0038001: paracrine signaling, GO:0042482: positive regulation of odontogenesis, GO:0043199: sulfate binding, GO:0045019: negative regulation of nitric oxide biosynthetic process, GO:0045171: intercellular bridge, GO:0045766: positive regulation of angiogenesis, GO:0048471: perinuclear region of cytoplasm, GO:0050900: leukocyte migration, GO:0060547: negative regulation of necrotic cell death, GO:0071425: hemopoietic stem cell proliferation, GO:0071636: positive regulation of transforming growth factor beta production, GO:0071657: positive regulation of granulocyte colony-stimulating factor production, GO:0071944: cell periphery, GO:0071971: extracellular vesicular exosome assembly, GO:1900035: negative regulation of cellular response to heat, GO:1900038: negative regulation of cellular response to hypoxia, GO:1900041: negative regulation of interleukin-2 secretion, GO:1900168: positive regulation of glial cell line-derived neurotrophic factor secretion, GO:2001214: positive regulation of vasculogenesis</t>
  </si>
  <si>
    <t>04514: Cell adhesion molecules (CAMs), 04640: Hematopoietic cell lineage</t>
  </si>
  <si>
    <t>20278_at</t>
  </si>
  <si>
    <t>sodium channel, nonvoltage-gated 1 gamma</t>
  </si>
  <si>
    <t>GO:0005216: ion channel activity, GO:0005272: sodium channel activity, GO:0005886: plasma membrane, GO:0006810: transport, GO:0006811: ion transport, GO:0006814: sodium ion transport, GO:0006814: sodium ion transport, GO:0006814: sodium ion transport, GO:0009897: external side of plasma membrane, GO:0009986: cell surface, GO:0015280: ligand-gated sodium channel activity, GO:0015280: ligand-gated sodium channel activity, GO:0015280: ligand-gated sodium channel activity, GO:0016020: membrane, GO:0016021: integral to membrane, GO:0016324: apical plasma membrane, GO:0034220: ion transmembrane transport, GO:0034706: sodium channel complex, GO:0035313: wound healing, spreading of epidermal cells, GO:0050699: WW domain binding, GO:0050699: WW domain binding, GO:0050896: response to stimulus, GO:0050909: sensory perception of taste</t>
  </si>
  <si>
    <t>04742: Taste transduction, 04960: Aldosterone-regulated sodium reabsorption</t>
  </si>
  <si>
    <t>94242_at</t>
  </si>
  <si>
    <t>tubulointerstitial nephritis antigen-like 1</t>
  </si>
  <si>
    <t>GO:0005044: scavenger receptor activity, GO:0005576: extracellular region, GO:0005737: cytoplasm, GO:0006508: proteolysis, GO:0006898: receptor-mediated endocytosis, GO:0006955: immune response, GO:0008234: cysteine-type peptidase activity, GO:0030247: polysaccharide binding, GO:0043236: laminin binding</t>
  </si>
  <si>
    <t>13136_at</t>
  </si>
  <si>
    <t>CD55 antigen</t>
  </si>
  <si>
    <t>GO:0004857: enzyme inhibitor activity, GO:0005886: plasma membrane, GO:0006958: complement activation, classical pathway, GO:0007204: elevation of cytosolic calcium ion concentration, GO:0009897: external side of plasma membrane, GO:0009986: cell surface, GO:0016020: membrane, GO:0016324: apical plasma membrane, GO:0031225: anchored to membrane, GO:0043086: negative regulation of catalytic activity, GO:0045087: innate immune response, GO:0045121: membrane raft, GO:0045916: negative regulation of complement activation</t>
  </si>
  <si>
    <t>04610: Complement and coagulation cascades, 04640: Hematopoietic cell lineage, 05416: Viral myocarditis</t>
  </si>
  <si>
    <t>16790_at</t>
  </si>
  <si>
    <t>alanyl (membrane) aminopeptidase</t>
  </si>
  <si>
    <t>GO:0001525: angiogenesis, GO:0004177: aminopeptidase activity, GO:0005793: endoplasmic reticulum-Golgi intermediate compartment, GO:0006508: proteolysis, GO:0006725: cellular aromatic compound metabolic process, GO:0007275: multicellular organismal development, GO:0008233: peptidase activity, GO:0008237: metallopeptidase activity, GO:0008270: zinc ion binding, GO:0009897: external side of plasma membrane, GO:0012506: vesicle membrane, GO:0016020: membrane, GO:0016021: integral to membrane, GO:0016787: hydrolase activity, GO:0030154: cell differentiation, GO:0031983: vesicle lumen, GO:0035814: negative regulation of renal sodium excretion, GO:0042277: peptide binding, GO:0046872: metal ion binding</t>
  </si>
  <si>
    <t>00480: Glutathione metabolism, 01100: Metabolic pathways, 04614: Renin-angiotensin system, 04640: Hematopoietic cell lineage</t>
  </si>
  <si>
    <t>20928_at</t>
  </si>
  <si>
    <t>ATP-binding cassette, sub-family C (CFTR/MRP), member 9</t>
  </si>
  <si>
    <t>GO:0000166: nucleotide binding, GO:0005267: potassium channel activity, GO:0005524: ATP binding, GO:0005739: mitochondrion, GO:0005886: plasma membrane, GO:0005886: plasma membrane, GO:0006200: ATP catabolic process, GO:0006810: transport, GO:0006813: potassium ion transport, GO:0007165: signal transduction, GO:0008076: voltage-gated potassium channel complex, GO:0008144: drug binding, GO:0008152: metabolic process, GO:0008281: sulfonylurea receptor activity, GO:0008282: ATP-sensitive potassium channel complex, GO:0010107: potassium ion import, GO:0015459: potassium channel regulator activity, GO:0016020: membrane, GO:0016021: integral to membrane, GO:0016887: ATPase activity, GO:0017111: nucleoside-triphosphatase activity, GO:0019905: syntaxin binding, GO:0030017: sarcomere, GO:0030315: T-tubule, GO:0042626: ATPase activity, coupled to transmembrane movement of substances, GO:0044325: ion channel binding, GO:0051607: defense response to virus, GO:0055085: transmembrane transport, GO:0071805: potassium ion transmembrane transport</t>
  </si>
  <si>
    <t>02010: ABC transporters</t>
  </si>
  <si>
    <t>100294583_at</t>
  </si>
  <si>
    <t>GO:0001556: oocyte maturation, GO:0003824: catalytic activity, GO:0004114: 3',5'-cyclic-nucleotide phosphodiesterase activity, GO:0004115: 3',5'-cyclic-AMP phosphodiesterase activity, GO:0004115: 3',5'-cyclic-AMP phosphodiesterase activity, GO:0004119: cGMP-inhibited cyclic-nucleotide phosphodiesterase activity, GO:0005829: cytosol, GO:0006198: cAMP catabolic process, GO:0007165: signal transduction, GO:0008081: phosphoric diester hydrolase activity, GO:0008152: metabolic process, GO:0016020: membrane, GO:0016021: integral to membrane, GO:0016787: hydrolase activity, GO:0019933: cAMP-mediated signaling, GO:0019934: cGMP-mediated signaling, GO:0030552: cAMP binding, GO:0040020: regulation of meiosis, GO:0042493: response to drug, GO:0043066: negative regulation of apoptotic process, GO:0043116: negative regulation of vascular permeability, GO:0043117: positive regulation of vascular permeability, GO:0046872: metal ion binding, GO:0060282: positive regulation of oocyte development, GO:0071321: cellular response to cGMP</t>
  </si>
  <si>
    <t>00230: Purine metabolism, 04910: Insulin signaling pathway, 04914: Progesterone-mediated oocyte maturation</t>
  </si>
  <si>
    <t>68888_at</t>
  </si>
  <si>
    <t>gastrokine 3</t>
  </si>
  <si>
    <t>GO:0003674: molecular_function, GO:0005576: extracellular region, GO:0005615: extracellular space, GO:0050680: negative regulation of epithelial cell proliferation</t>
  </si>
  <si>
    <t>22341_at</t>
  </si>
  <si>
    <t>vascular endothelial growth factor C</t>
  </si>
  <si>
    <t>GO:0001525: angiogenesis, GO:0002052: positive regulation of neuroblast proliferation, GO:0005576: extracellular region, GO:0005615: extracellular space, GO:0007275: multicellular organismal development, GO:0008083: growth factor activity, GO:0008284: positive regulation of cell proliferation, GO:0008284: positive regulation of cell proliferation, GO:0008284: positive regulation of cell proliferation, GO:0009887: organ morphogenesis, GO:0016020: membrane, GO:0016331: morphogenesis of embryonic epithelium, GO:0030154: cell differentiation, GO:0030947: regulation of vascular endothelial growth factor receptor signaling pathway, GO:0031954: positive regulation of protein autophosphorylation, GO:0042056: chemoattractant activity, GO:0043185: vascular endothelial growth factor receptor 3 binding, GO:0043185: vascular endothelial growth factor receptor 3 binding, GO:0043536: positive regulation of blood vessel endothelial cell migration, GO:0045776: negative regulation of blood pressure, GO:0048010: vascular endothelial growth factor receptor signaling pathway, GO:0048010: vascular endothelial growth factor receptor signaling pathway, GO:0050679: positive regulation of epithelial cell proliferation, GO:0050714: positive regulation of protein secretion, GO:0050918: positive chemotaxis, GO:0050930: induction of positive chemotaxis, GO:0051781: positive regulation of cell division, GO:0060754: positive regulation of mast cell chemotaxis</t>
  </si>
  <si>
    <t>74186_at</t>
  </si>
  <si>
    <t>coiled-coil domain containing 3</t>
  </si>
  <si>
    <t>GO:0003674: molecular_function, GO:0005576: extracellular region, GO:0005783: endoplasmic reticulum, GO:0008150: biological_process</t>
  </si>
  <si>
    <t>27984_at</t>
  </si>
  <si>
    <t>EF hand domain containing 2</t>
  </si>
  <si>
    <t>GO:0005509: calcium ion binding, GO:0005515: protein binding</t>
  </si>
  <si>
    <t>16416_at</t>
  </si>
  <si>
    <t>integrin beta 3</t>
  </si>
  <si>
    <t>family with sequence similarity 150, member B</t>
  </si>
  <si>
    <t>54611_at</t>
  </si>
  <si>
    <t>phosphodiesterase 3A, cGMP inhibited</t>
  </si>
  <si>
    <t>GO:0001938: positive regulation of endothelial cell proliferation, GO:0002687: positive regulation of leukocyte migration, GO:0003756: protein disulfide isomerase activity, GO:0004872: receptor activity, GO:0005102: receptor binding, GO:0005178: integrin binding, GO:0005515: protein binding, GO:0005886: plasma membrane, GO:0006874: cellular calcium ion homeostasis, GO:0007044: cell-substrate junction assembly, GO:0007155: cell adhesion, GO:0007160: cell-matrix adhesion, GO:0007229: integrin-mediated signaling pathway, GO:0007275: multicellular organismal development, GO:0008277: regulation of G-protein coupled receptor protein signaling pathway, GO:0008305: integrin complex, GO:0009897: external side of plasma membrane, GO:0009986: cell surface, GO:0010595: positive regulation of endothelial cell migration, GO:0010745: negative regulation of macrophage derived foam cell differentiation, GO:0010763: positive regulation of fibroblast migration, GO:0010888: negative regulation of lipid storage, GO:0014909: smooth muscle cell migration, GO:0014911: positive regulation of smooth muscle cell migration, GO:0016020: membrane, GO:0016021: integral to membrane, GO:0030168: platelet activation, GO:0030334: regulation of cell migration, GO:0030335: positive regulation of cell migration, GO:0032147: activation of protein kinase activity, GO:0032369: negative regulation of lipid transport, GO:0033630: positive regulation of cell adhesion mediated by integrin, GO:0033690: positive regulation of osteoblast proliferation, GO:0034679: alpha9-beta1 integrin complex, GO:0042277: peptide binding, GO:0042470: melanosome, GO:0042802: identical protein binding, GO:0043184: vascular endothelial growth factor receptor 2 binding, GO:0043410: positive regulation of MAPK cascade, GO:0045672: positive regulation of osteoclast differentiation, GO:0045715: negative regulation of low-density lipoprotein particle receptor biosynthetic process, GO:0045780: positive regulation of bone resorption, GO:0045780: positive regulation of bone resorption, GO:0048661: positive regulation of smooth muscle cell proliferation, GO:0048858: cell projection morphogenesis, GO:0050731: positive regulation of peptidyl-tyrosine phosphorylation, GO:0050748: negative regulation of lipoprotein metabolic process, GO:0050839: cell adhesion molecule binding, GO:0060548: negative regulation of cell death, GO:0070051: fibrinogen binding, GO:0070374: positive regulation of ERK1 and ERK2 cascade, GO:0070527: platelet aggregation, GO:0071133: alpha9-beta1 integrin-ADAM8 complex, GO:0072126: positive regulation of glomerular mesangial cell proliferation, GO:1900731: positive regulation of adenylate cyclase-inhibiting opioid receptor signaling pathway</t>
  </si>
  <si>
    <t>04145: Phagosome, 04380: Osteoclast differentiation, 04510: Focal adhesion, 04512: ECM-receptor interaction, 04640: Hematopoietic cell lineage, 04810: Regulation of actin cytoskeleton, 05410: Hypertrophic cardiomyopathy (HCM), 05412: Arrhythmogenic right ventricular cardiomyopathy (ARVC), 05414: Dilated cardiomyopathy</t>
  </si>
  <si>
    <t>108079_at</t>
  </si>
  <si>
    <t>protein kinase, AMP-activated, alpha 2 catalytic subunit</t>
  </si>
  <si>
    <t>GO:0000166: nucleotide binding, GO:0003682: chromatin binding, GO:0004672: protein kinase activity, GO:0004674: protein serine/threonine kinase activity, GO:0004674: protein serine/threonine kinase activity, GO:0004679: AMP-activated protein kinase activity, GO:0004679: AMP-activated protein kinase activity, GO:0004679: AMP-activated protein kinase activity, GO:0004679: AMP-activated protein kinase activity, GO:0005515: protein binding, GO:0005524: ATP binding, GO:0005634: nucleus, GO:0005737: cytoplasm, GO:0006351: transcription, DNA-dependent, GO:0006355: regulation of transcription, DNA-dependent, GO:0006468: protein phosphorylation, GO:0006468: protein phosphorylation, GO:0006468: protein phosphorylation, GO:0006633: fatty acid biosynthetic process, GO:0006694: steroid biosynthetic process, GO:0006695: cholesterol biosynthetic process, GO:0006914: autophagy, GO:0006950: response to stress, GO:0006950: response to stress, GO:0006950: response to stress, GO:0008610: lipid biosynthetic process, GO:0010508: positive regulation of autophagy, GO:0014823: response to activity, GO:0016055: Wnt receptor signaling pathway, GO:0016126: sterol biosynthetic process, GO:0016301: kinase activity, GO:0016310: phosphorylation, GO:0016324: apical plasma membrane, GO:0016568: chromatin modification, GO:0016740: transferase activity, GO:0016772: transferase activity, transferring phosphorus-containing groups, GO:0019216: regulation of lipid metabolic process, GO:0030674: protein binding, bridging, GO:0031000: response to caffeine, GO:0031588: AMP-activated protein kinase complex, GO:0031669: cellular response to nutrient levels, GO:0032007: negative regulation of TOR signaling cascade, GO:0035174: histone serine kinase activity, GO:0035404: histone-serine phosphorylation, GO:0042149: cellular response to glucose starvation, GO:0042593: glucose homeostasis, GO:0042752: regulation of circadian rhythm, GO:0043066: negative regulation of apoptotic process, GO:0043234: protein complex, GO:0045821: positive regulation of glycolysis, GO:0046872: metal ion binding, GO:0048511: rhythmic process, GO:0051291: protein heterooligomerization, GO:0055089: fatty acid homeostasis, GO:2000505: regulation of energy homeostasis</t>
  </si>
  <si>
    <t>04140: Regulation of autophagy, 04150: mTOR signaling pathway, 04910: Insulin signaling pathway, 04920: Adipocytokine signaling pathway, 05410: Hypertrophic cardiomyopathy (HCM)</t>
  </si>
  <si>
    <t>106877_at</t>
  </si>
  <si>
    <t>actin filament associated protein 1-like 1</t>
  </si>
  <si>
    <t>GO:0005515: protein binding, GO:0005543: phospholipid binding, GO:0005575: cellular_component, GO:0005737: cytoplasm, GO:0008150: biological_process, GO:0030054: cell junction, GO:0042995: cell projection</t>
  </si>
  <si>
    <t>67080_at</t>
  </si>
  <si>
    <t>RIKEN cDNA 1700019D03 gene</t>
  </si>
  <si>
    <t>14118_at</t>
  </si>
  <si>
    <t>fibrillin 1</t>
  </si>
  <si>
    <t>GO:0001501: skeletal system development, GO:0001527: microfibril, GO:0001527: microfibril, GO:0001822: kidney development, GO:0005201: extracellular matrix structural constituent, GO:0005509: calcium ion binding, GO:0005515: protein binding, GO:0005578: proteinaceous extracellular matrix, GO:0005604: basement membrane, GO:0005615: extracellular space, GO:0007507: heart development, GO:0031012: extracellular matrix, GO:0031012: extracellular matrix</t>
  </si>
  <si>
    <t>17389_at</t>
  </si>
  <si>
    <t>matrix metallopeptidase 16</t>
  </si>
  <si>
    <t>GO:0004222: metalloendopeptidase activity, GO:0005509: calcium ion binding, GO:0005886: plasma membrane, GO:0006508: proteolysis, GO:0008152: metabolic process, GO:0008233: peptidase activity, GO:0008237: metallopeptidase activity, GO:0008270: zinc ion binding, GO:0016020: membrane, GO:0016021: integral to membrane, GO:0016787: hydrolase activity, GO:0030574: collagen catabolic process, GO:0031012: extracellular matrix, GO:0046872: metal ion binding</t>
  </si>
  <si>
    <t>100093700_at</t>
  </si>
  <si>
    <t>predicted gene 10400</t>
  </si>
  <si>
    <t>68659_at</t>
  </si>
  <si>
    <t>family with sequence similarity 198, member B</t>
  </si>
  <si>
    <t>GO:0003674: molecular_function, GO:0005794: Golgi apparatus, GO:0008150: biological_process, GO:0016020: membrane, GO:0016021: integral to membrane</t>
  </si>
  <si>
    <t>14234_at</t>
  </si>
  <si>
    <t>forkhead box C2</t>
  </si>
  <si>
    <t>GO:0000122: negative regulation of transcription from RNA polymerase II promoter, GO:0001077: RNA polymerase II core promoter proximal region sequence-specific DNA binding transcription factor activity involved in positive regulation of transcription, GO:0001501: skeletal system development, GO:0001501: skeletal system development, GO:0001503: ossification, GO:0001568: blood vessel development, GO:0001569: patterning of blood vessels, GO:0001570: vasculogenesis, GO:0001656: metanephros development, GO:0001657: ureteric bud development, GO:0001756: somitogenesis, GO:0001822: kidney development, GO:0001945: lymph vessel development, GO:0001946: lymphangiogenesis, GO:0001946: lymphangiogenesis, GO:0001946: lymphangiogenesis, GO:0001974: blood vessel remodeling, GO:0003007: heart morphogenesis, GO:0003677: DNA binding, GO:0003690: double-stranded DNA binding, GO:0003700: sequence-specific DNA binding transcription factor activity, GO:0003700: sequence-specific DNA binding transcription factor activity, GO:0003700: sequence-specific DNA binding transcription factor activity, GO:0003705: RNA polymerase II distal enhancer sequence-specific DNA binding transcription factor activity, GO:0005634: nucleus, GO:0005634: nucleus, GO:0005667: transcription factor complex, GO:0006351: transcription, DNA-dependent, GO:0006355: regulation of transcription, DNA-dependent, GO:0006357: regulation of transcription from RNA polymerase II promoter, GO:0006916: anti-apoptosis, GO:0007219: Notch signaling pathway, GO:0007275: multicellular organismal development, GO:0007507: heart development, GO:0007507: heart development, GO:0007507: heart development, GO:0008134: transcription factor binding, GO:0008283: cell proliferation, GO:0008286: insulin receptor signaling pathway, GO:0008286: insulin receptor signaling pathway, GO:0008286: insulin receptor signaling pathway, GO:0008301: DNA binding, bending, GO:0009725: response to hormone stimulus, GO:0009725: response to hormone stimulus, GO:0010595: positive regulation of endothelial cell migration, GO:0014032: neural crest cell development, GO:0014034: neural crest cell fate commitment, GO:0030199: collagen fibril organization, GO:0031490: chromatin DNA binding, GO:0031490: chromatin DNA binding, GO:0031490: chromatin DNA binding, GO:0033625: positive regulation of integrin activation, GO:0033630: positive regulation of cell adhesion mediated by integrin, GO:0035050: embryonic heart tube development, GO:0035470: positive regulation of vascular wound healing, GO:0043010: camera-type eye development, GO:0043565: sequence-specific DNA binding, GO:0043565: sequence-specific DNA binding, GO:0044212: transcription regulatory region DNA binding, GO:0045893: positive regulation of transcription, DNA-dependent, GO:0045893: positive regulation of transcription, DNA-dependent, GO:0045893: positive regulation of transcription, DNA-dependent, GO:0045944: positive regulation of transcription from RNA polymerase II promoter, GO:0045944: positive regulation of transcription from RNA polymerase II promoter, GO:0046620: regulation of organ growth, GO:0048010: vascular endothelial growth factor receptor signaling pathway, GO:0048341: paraxial mesoderm formation, GO:0048343: paraxial mesodermal cell fate commitment, GO:0048701: embryonic cranial skeleton morphogenesis, GO:0048703: embryonic viscerocranium morphogenesis, GO:0048704: embryonic skeletal system morphogenesis, GO:0048844: artery morphogenesis, GO:0050880: regulation of blood vessel size, GO:0051090: regulation of sequence-specific DNA binding transcription factor activity, GO:0055010: ventricular cardiac muscle tissue morphogenesis, GO:0060038: cardiac muscle cell proliferation, GO:0072011: glomerular endothelium development, GO:0072112: glomerular visceral epithelial cell differentiation, GO:0072144: glomerular mesangial cell development, GO:0090050: positive regulation of cell migration involved in sprouting angiogenesis</t>
  </si>
  <si>
    <t>13592_at</t>
  </si>
  <si>
    <t>early B cell factor 2</t>
  </si>
  <si>
    <t>15360_at</t>
  </si>
  <si>
    <t>3-hydroxy-3-methylglutaryl-Coenzyme A synthase 2</t>
  </si>
  <si>
    <t>GO:0003824: catalytic activity, GO:0004421: hydroxymethylglutaryl-CoA synthase activity, GO:0005739: mitochondrion, GO:0005743: mitochondrial inner membrane, GO:0005759: mitochondrial matrix, GO:0006694: steroid biosynthetic process, GO:0006695: cholesterol biosynthetic process, GO:0008152: metabolic process, GO:0008299: isoprenoid biosynthetic process, GO:0008610: lipid biosynthetic process, GO:0016126: sterol biosynthetic process, GO:0016740: transferase activity</t>
  </si>
  <si>
    <t>00072: Synthesis and degradation of ketone bodies, 00280: Valine, leucine and isoleucine degradation, 00650: Butanoate metabolism, 00900: Terpenoid backbone biosynthesis, 01100: Metabolic pathways, 03320: PPAR signaling pathway</t>
  </si>
  <si>
    <t>382018_at</t>
  </si>
  <si>
    <t>unc-13 homolog A (C. elegans)</t>
  </si>
  <si>
    <t>GO:0000149: SNARE binding, GO:0005515: protein binding, GO:0005737: cytoplasm, GO:0005886: plasma membrane, GO:0006887: exocytosis, GO:0007269: neurotransmitter secretion, GO:0016020: membrane, GO:0016081: synaptic vesicle docking involved in exocytosis, GO:0016082: synaptic vesicle priming, GO:0016188: synaptic vesicle maturation, GO:0017075: syntaxin-1 binding, GO:0019904: protein domain specific binding, GO:0019992: diacylglycerol binding, GO:0030054: cell junction, GO:0035249: synaptic transmission, glutamatergic, GO:0035556: intracellular signal transduction, GO:0042734: presynaptic membrane, GO:0042803: protein homodimerization activity, GO:0043234: protein complex, GO:0045202: synapse, GO:0046872: metal ion binding, GO:0046982: protein heterodimerization activity, GO:0047485: protein N-terminus binding, GO:0048172: regulation of short-term neuronal synaptic plasticity, GO:0050435: beta-amyloid metabolic process, GO:0060076: excitatory synapse, GO:0060291: long-term synaptic potentiation</t>
  </si>
  <si>
    <t>66725_at</t>
  </si>
  <si>
    <t>leucine-rich repeat kinase 2</t>
  </si>
  <si>
    <t>GO:0000165: MAPK cascade, GO:0000166: nucleotide binding, GO:0000186: activation of MAPKK activity, GO:0000187: activation of MAPK activity, GO:0001934: positive regulation of protein phosphorylation, GO:0003924: GTPase activity, GO:0004672: protein kinase activity, GO:0004674: protein serine/threonine kinase activity, GO:0004708: MAP kinase kinase activity, GO:0005096: GTPase activator activity, GO:0005515: protein binding, GO:0005524: ATP binding, GO:0005525: GTP binding, GO:0005525: GTP binding, GO:0005622: intracellular, GO:0005622: intracellular, GO:0005737: cytoplasm, GO:0005739: mitochondrion, GO:0005802: trans-Golgi network, GO:0005886: plasma membrane, GO:0006184: GTP catabolic process, GO:0006468: protein phosphorylation, GO:0006914: autophagy, GO:0006979: response to oxidative stress, GO:0007264: small GTPase mediated signal transduction, GO:0007406: negative regulation of neuroblast proliferation, GO:0007528: neuromuscular junction development, GO:0008021: synaptic vesicle, GO:0008340: determination of adult lifespan, GO:0010508: positive regulation of autophagy, GO:0010508: positive regulation of autophagy, GO:0010942: positive regulation of cell death, GO:0014043: negative regulation of neuron maturation, GO:0015631: tubulin binding, GO:0016020: membrane, GO:0016301: kinase activity, GO:0016310: phosphorylation, GO:0016740: transferase activity, GO:0016772: transferase activity, transferring phosphorus-containing groups, GO:0017048: Rho GTPase binding, GO:0017048: Rho GTPase binding, GO:0018105: peptidyl-serine phosphorylation, GO:0018107: peptidyl-threonine phosphorylation, GO:0021772: olfactory bulb development, GO:0022028: tangential migration from the subventricular zone to the olfactory bulb, GO:0030424: axon, GO:0030425: dendrite, GO:0031398: positive regulation of protein ubiquitination, GO:0032436: positive regulation of proteasomal ubiquitin-dependent protein catabolic process, GO:0032473: external side of mitochondrial outer membrane, GO:0032839: dendrite cytoplasm, GO:0034211: GTP-dependent protein kinase activity, GO:0034211: GTP-dependent protein kinase activity, GO:0034260: negative regulation of GTPase activity, GO:0035564: regulation of kidney size, GO:0035640: exploration behavior, GO:0040012: regulation of locomotion, GO:0042391: regulation of membrane potential, GO:0042803: protein homodimerization activity, GO:0043005: neuron projection, GO:0043025: neuronal cell body, GO:0043068: positive regulation of programmed cell death, GO:0043547: positive regulation of GTPase activity, GO:0044325: ion channel binding, GO:0045121: membrane raft, GO:0045202: synapse, GO:0046777: protein autophosphorylation, GO:0046777: protein autophosphorylation, GO:0048312: intracellular distribution of mitochondria, GO:0060161: positive regulation of dopamine receptor signaling pathway, GO:0061002: negative regulation of dendritic spine morphogenesis, GO:0070997: neuron death, GO:2000173: negative regulation of branching morphogenesis of a nerve</t>
  </si>
  <si>
    <t>21814_at</t>
  </si>
  <si>
    <t>transforming growth factor, beta receptor III</t>
  </si>
  <si>
    <t>GO:0001568: blood vessel development, GO:0001701: in utero embryonic development, GO:0001824: blastocyst development, GO:0001837: epithelial to mesenchymal transition, GO:0001889: liver development, GO:0003347: epicardial cell to mesenchymal cell transition, GO:0005024: transforming growth factor beta-activated receptor activity, GO:0005024: transforming growth factor beta-activated receptor activity, GO:0005024: transforming growth factor beta-activated receptor activity, GO:0005114: type II transforming growth factor beta receptor binding, GO:0005160: transforming growth factor beta receptor binding, GO:0005515: protein binding, GO:0005539: glycosaminoglycan binding, GO:0005576: extracellular region, GO:0005578: proteinaceous extracellular matrix, GO:0005615: extracellular space, GO:0005737: cytoplasm, GO:0005737: cytoplasm, GO:0005783: endoplasmic reticulum, GO:0005886: plasma membrane, GO:0005887: integral to plasma membrane, GO:0005887: integral to plasma membrane, GO:0006461: protein complex assembly, GO:0006955: immune response, GO:0007179: transforming growth factor beta receptor signaling pathway, GO:0007179: transforming growth factor beta receptor signaling pathway, GO:0007181: transforming growth factor beta receptor complex assembly, GO:0007243: intracellular protein kinase cascade, GO:0008201: heparin binding, GO:0009790: embryo development, GO:0009897: external side of plasma membrane, GO:0009986: cell surface, GO:0010633: negative regulation of epithelial cell migration, GO:0010719: negative regulation of epithelial to mesenchymal transition, GO:0015026: coreceptor activity, GO:0016020: membrane, GO:0016021: integral to membrane, GO:0016049: cell growth, GO:0017134: fibroblast growth factor binding, GO:0030165: PDZ domain binding, GO:0030509: BMP signaling pathway, GO:0030511: positive regulation of transforming growth factor beta receptor signaling pathway, GO:0030512: negative regulation of transforming growth factor beta receptor signaling pathway, GO:0032354: response to follicle-stimulating hormone stimulus, GO:0034673: inhibin-betaglycan-ActRII complex, GO:0034695: response to prostaglandin E stimulus, GO:0034699: response to luteinizing hormone stimulus, GO:0043393: regulation of protein binding, GO:0046332: SMAD binding, GO:0046332: SMAD binding, GO:0048185: activin binding, GO:0050431: transforming growth factor beta binding, GO:0050431: transforming growth factor beta binding, GO:0050680: negative regulation of epithelial cell proliferation, GO:0050880: regulation of blood vessel size, GO:0051092: positive regulation of NF-kappaB transcription factor activity, GO:0051271: negative regulation of cellular component movement, GO:0055010: ventricular cardiac muscle tissue morphogenesis, GO:0060021: palate development, GO:0060038: cardiac muscle cell proliferation, GO:0060216: definitive hemopoiesis, GO:0060317: cardiac epithelial to mesenchymal transition, GO:0060318: definitive erythrocyte differentiation, GO:0060347: heart trabecula formation, GO:0060389: pathway-restricted SMAD protein phosphorylation, GO:0060389: pathway-restricted SMAD protein phosphorylation, GO:0060976: coronary vasculature development, GO:0060977: coronary vasculature morphogenesis, GO:0060979: vasculogenesis involved in coronary vascular morphogenesis, GO:0061032: visceral serous pericardium development, GO:0070123: transforming growth factor beta receptor activity, type III</t>
  </si>
  <si>
    <t>11600_at</t>
  </si>
  <si>
    <t>angiopoietin 1</t>
  </si>
  <si>
    <t>GO:0001525: angiogenesis, GO:0001525: angiogenesis, GO:0001541: ovarian follicle development, GO:0001569: patterning of blood vessels, GO:0001570: vasculogenesis, GO:0001701: in utero embryonic development, GO:0001701: in utero embryonic development, GO:0002040: sprouting angiogenesis, GO:0002092: positive regulation of receptor internalization, GO:0003160: endocardium morphogenesis, GO:0005102: receptor binding, GO:0005172: vascular endothelial growth factor receptor binding, GO:0005576: extracellular region, GO:0005615: extracellular space, GO:0005886: plasma membrane, GO:0005902: microvillus, GO:0006916: anti-apoptosis, GO:0006916: anti-apoptosis, GO:0006916: anti-apoptosis, GO:0007162: negative regulation of cell adhesion, GO:0007165: signal transduction, GO:0007169: transmembrane receptor protein tyrosine kinase signaling pathway, GO:0007171: activation of transmembrane receptor protein tyrosine kinase activity, GO:0007275: multicellular organismal development, GO:0007492: endoderm development, GO:0010595: positive regulation of endothelial cell migration, GO:0010595: positive regulation of endothelial cell migration, GO:0014068: positive regulation of phosphatidylinositol 3-kinase cascade, GO:0014842: regulation of satellite cell proliferation, GO:0030097: hemopoiesis, GO:0030154: cell differentiation, GO:0030210: heparin biosynthetic process, GO:0030949: positive regulation of vascular endothelial growth factor receptor signaling pathway, GO:0030971: receptor tyrosine kinase binding, GO:0031398: positive regulation of protein ubiquitination, GO:0031589: cell-substrate adhesion, GO:0033138: positive regulation of peptidyl-serine phosphorylation, GO:0034394: protein localization to cell surface, GO:0043066: negative regulation of apoptotic process, GO:0043116: negative regulation of vascular permeability, GO:0043116: negative regulation of vascular permeability, GO:0043536: positive regulation of blood vessel endothelial cell migration, GO:0045121: membrane raft, GO:0045768: positive regulation of anti-apoptosis, GO:0045785: positive regulation of cell adhesion, GO:0048014: Tie receptor signaling pathway, GO:0048014: Tie receptor signaling pathway, GO:0050731: positive regulation of peptidyl-tyrosine phosphorylation, GO:0050731: positive regulation of peptidyl-tyrosine phosphorylation, GO:0050918: positive chemotaxis, GO:0051260: protein homooligomerization, GO:0051897: positive regulation of protein kinase B signaling cascade, GO:0055008: cardiac muscle tissue morphogenesis, GO:0060979: vasculogenesis involved in coronary vascular morphogenesis, GO:0070374: positive regulation of ERK1 and ERK2 cascade, GO:0072012: glomerulus vasculature development, GO:0072012: glomerulus vasculature development, GO:2000352: negative regulation of endothelial cell apoptotic process</t>
  </si>
  <si>
    <t>GO:0003828: alpha-N-acetylneuraminate alpha-2,8-sialyltransferase activity, GO:0005794: Golgi apparatus, GO:0006486: protein glycosylation, GO:0006629: lipid metabolic process, GO:0006665: sphingolipid metabolic process, GO:0008284: positive regulation of cell proliferation, GO:0008373: sialyltransferase activity, GO:0008610: lipid biosynthetic process, GO:0016020: membrane, GO:0016021: integral to membrane, GO:0016740: transferase activity, GO:0016757: transferase activity, transferring glycosyl groups, GO:0030173: integral to Golgi membrane, GO:0034605: cellular response to heat</t>
  </si>
  <si>
    <t>00601: Glycosphingolipid biosynthesis - lacto and neolacto series, 00603: Glycosphingolipid biosynthesis - globo series, 00604: Glycosphingolipid biosynthesis - ganglio series, 01100: Metabolic pathways</t>
  </si>
  <si>
    <t>12839_at</t>
  </si>
  <si>
    <t>collagen, type IX, alpha 1</t>
  </si>
  <si>
    <t>GO:0001894: tissue homeostasis, GO:0003417: growth plate cartilage development, GO:0003417: growth plate cartilage development, GO:0005576: extracellular region, GO:0005578: proteinaceous extracellular matrix, GO:0005581: collagen, GO:0005594: collagen type IX, GO:0046872: metal ion binding, GO:0051216: cartilage development</t>
  </si>
  <si>
    <t>353156_at</t>
  </si>
  <si>
    <t>EGF-like domain 7</t>
  </si>
  <si>
    <t>GO:0001525: angiogenesis, GO:0005509: calcium ion binding, GO:0005576: extracellular region, GO:0005615: extracellular space, GO:0007275: multicellular organismal development, GO:0030154: cell differentiation, GO:0030334: regulation of cell migration, GO:0030336: negative regulation of cell migration</t>
  </si>
  <si>
    <t>20315_at</t>
  </si>
  <si>
    <t>chemokine (C-X-C motif) ligand 12</t>
  </si>
  <si>
    <t>GO:0001569: patterning of blood vessels, GO:0001667: ameboidal cell migration, GO:0001764: neuron migration, GO:0001938: positive regulation of endothelial cell proliferation, GO:0005125: cytokine activity, GO:0005576: extracellular region, GO:0005615: extracellular space, GO:0005886: plasma membrane, GO:0006935: chemotaxis, GO:0006955: immune response, GO:0007281: germ cell development, GO:0007420: brain development, GO:0008009: chemokine activity, GO:0008045: motor axon guidance, GO:0008083: growth factor activity, GO:0008284: positive regulation of cell proliferation, GO:0008344: adult locomotory behavior, GO:0008354: germ cell migration, GO:0009897: external side of plasma membrane, GO:0022029: telencephalon cell migration, GO:0030334: regulation of cell migration, GO:0030334: regulation of cell migration, GO:0030335: positive regulation of cell migration, GO:0030335: positive regulation of cell migration, GO:0031100: organ regeneration, GO:0033603: positive regulation of dopamine secretion, GO:0042098: T cell proliferation, GO:0043066: negative regulation of apoptotic process, GO:0045236: CXCR chemokine receptor binding, GO:0045666: positive regulation of neuron differentiation, GO:0048842: positive regulation of axon extension involved in axon guidance, GO:0050930: induction of positive chemotaxis, GO:0051929: positive regulation of calcium ion transport via voltage-gated calcium channel activity, GO:0070098: chemokine-mediated signaling pathway, GO:0090026: positive regulation of monocyte chemotaxis, GO:2000107: negative regulation of leukocyte apoptotic process</t>
  </si>
  <si>
    <t>04060: Cytokine-cytokine receptor interaction, 04062: Chemokine signaling pathway, 04360: Axon guidance, 04670: Leukocyte transendothelial migration, 04672: Intestinal immune network for IgA production, 05323: Rheumatoid arthritis</t>
  </si>
  <si>
    <t>22411_at</t>
  </si>
  <si>
    <t>wingless-related MMTV integration site 11</t>
  </si>
  <si>
    <t>05323: Rheumatoid arthritis</t>
  </si>
  <si>
    <t>20449_at</t>
  </si>
  <si>
    <t>ST8 alpha-N-acetyl-neuraminide alpha-2,8-sialyltransferase 1</t>
  </si>
  <si>
    <t>GO:0000122: negative regulation of transcription from RNA polymerase II promoter, GO:0001649: osteoblast differentiation, GO:0001664: G-protein coupled receptor binding, GO:0001822: kidney development, GO:0003151: outflow tract morphogenesis, GO:0005099: Ras GTPase activator activity, GO:0005102: receptor binding, GO:0005515: protein binding, GO:0005576: extracellular region, GO:0005578: proteinaceous extracellular matrix, GO:0005615: extracellular space, GO:0005737: cytoplasm, GO:0005737: cytoplasm, GO:0005886: plasma membrane, GO:0006468: protein phosphorylation, GO:0007165: signal transduction, GO:0007267: cell-cell signaling, GO:0007275: multicellular organismal development, GO:0007492: endoderm development, GO:0009798: axis specification, GO:0009887: organ morphogenesis, GO:0009952: anterior/posterior pattern specification, GO:0010628: positive regulation of gene expression, GO:0016055: Wnt receptor signaling pathway, GO:0030282: bone mineralization, GO:0030295: protein kinase activator activity, GO:0030308: negative regulation of cell growth, GO:0030335: positive regulation of cell migration, GO:0030336: negative regulation of cell migration, GO:0031012: extracellular matrix, GO:0032320: positive regulation of Ras GTPase activity, GO:0032915: positive regulation of transforming growth factor beta2 production, GO:0034394: protein localization to cell surface, GO:0035567: non-canonical Wnt receptor signaling pathway, GO:0043065: positive regulation of apoptotic process, GO:0043066: negative regulation of apoptotic process, GO:0044212: transcription regulatory region DNA binding, GO:0045860: positive regulation of protein kinase activity, GO:0045892: negative regulation of transcription, DNA-dependent, GO:0045893: positive regulation of transcription, DNA-dependent, GO:0048844: artery morphogenesis, GO:0051496: positive regulation of stress fiber assembly, GO:0060021: palate development, GO:0060021: palate development, GO:0060070: canonical Wnt receptor signaling pathway, GO:0060412: ventricular septum morphogenesis, GO:0060548: negative regulation of cell death, GO:0061101: neuroendocrine cell differentiation, GO:0070830: tight junction assembly, GO:0072201: negative regulation of mesenchymal cell proliferation, GO:0090037: positive regulation of protein kinase C signaling cascade, GO:0090090: negative regulation of canonical Wnt receptor signaling pathway, GO:0090090: negative regulation of canonical Wnt receptor signaling pathway, GO:0090272: negative regulation of fibroblast growth factor production</t>
  </si>
  <si>
    <t>lipoprotein lipase</t>
  </si>
  <si>
    <t>GO:0003824: catalytic activity, GO:0004465: lipoprotein lipase activity, GO:0004465: lipoprotein lipase activity, GO:0004806: triglyceride lipase activity, GO:0004806: triglyceride lipase activity, GO:0005102: receptor binding, GO:0005515: protein binding, GO:0005576: extracellular region, GO:0005615: extracellular space, GO:0005615: extracellular space, GO:0005886: plasma membrane, GO:0006629: lipid metabolic process, GO:0006633: fatty acid biosynthetic process, GO:0008201: heparin binding, GO:0009986: cell surface, GO:0010744: positive regulation of macrophage derived foam cell differentiation, GO:0010886: positive regulation of cholesterol storage, GO:0010890: positive regulation of sequestering of triglyceride, GO:0016020: membrane, GO:0016042: lipid catabolic process, GO:0016787: hydrolase activity, GO:0017129: triglyceride binding, GO:0019432: triglyceride biosynthetic process, GO:0019433: triglyceride catabolic process, GO:0019433: triglyceride catabolic process, GO:0031012: extracellular matrix, GO:0031225: anchored to membrane, GO:0034361: very-low-density lipoprotein particle, GO:0034372: very-low-density lipoprotein particle remodeling, GO:0042627: chylomicron, GO:0070328: triglyceride homeostasis</t>
  </si>
  <si>
    <t>00561: Glycerolipid metabolism, 03320: PPAR signaling pathway, 05010: Alzheimer's disease</t>
  </si>
  <si>
    <t>11601_at</t>
  </si>
  <si>
    <t>angiopoietin 2</t>
  </si>
  <si>
    <t>GO:0001525: angiogenesis, GO:0001974: blood vessel remodeling, GO:0005102: receptor binding, GO:0005172: vascular endothelial growth factor receptor binding, GO:0005515: protein binding, GO:0005576: extracellular region, GO:0005615: extracellular space, GO:0005634: nucleus, GO:0005886: plasma membrane, GO:0007165: signal transduction, GO:0007169: transmembrane receptor protein tyrosine kinase signaling pathway, GO:0007275: multicellular organismal development, GO:0007492: endoderm development, GO:0010812: negative regulation of cell-substrate adhesion, GO:0016525: negative regulation of angiogenesis, GO:0030097: hemopoiesis, GO:0030154: cell differentiation, GO:0030971: receptor tyrosine kinase binding, GO:0042995: cell projection, GO:0043537: negative regulation of blood vessel endothelial cell migration, GO:0045765: regulation of angiogenesis, GO:0045766: positive regulation of angiogenesis, GO:0046872: metal ion binding, GO:0048014: Tie receptor signaling pathway, GO:0048014: Tie receptor signaling pathway, GO:0048514: blood vessel morphogenesis, GO:0050928: negative regulation of positive chemotaxis, GO:0072012: glomerulus vasculature development</t>
  </si>
  <si>
    <t>24063_at</t>
  </si>
  <si>
    <t>sprouty homolog 1 (Drosophila)</t>
  </si>
  <si>
    <t>GO:0001656: metanephros development, GO:0001657: ureteric bud development, GO:0001657: ureteric bud development, GO:0001759: organ induction, GO:0005515: protein binding, GO:0005737: cytoplasm, GO:0007275: multicellular organismal development, GO:0008285: negative regulation of cell proliferation, GO:0009966: regulation of signal transduction, GO:0016020: membrane, GO:0034261: negative regulation of Ras GTPase activity, GO:0040037: negative regulation of fibroblast growth factor receptor signaling pathway, GO:0043407: negative regulation of MAP kinase activity, GO:0046580: negative regulation of Ras protein signal transduction, GO:0051387: negative regulation of nerve growth factor receptor signaling pathway, GO:0070373: negative regulation of ERK1 and ERK2 cascade</t>
  </si>
  <si>
    <t>16956_at</t>
  </si>
  <si>
    <t>GO:0000166: nucleotide binding, GO:0003824: catalytic activity, GO:0004957: prostaglandin E receptor activity, GO:0005634: nucleus, GO:0005737: cytoplasm, GO:0006629: lipid metabolic process, GO:0006631: fatty acid metabolic process, GO:0006693: prostaglandin metabolic process, GO:0007179: transforming growth factor beta receptor signaling pathway, GO:0007186: G-protein coupled receptor signaling pathway, GO:0007565: female pregnancy, GO:0007567: parturition, GO:0008152: metabolic process, GO:0016404: 15-hydroxyprostaglandin dehydrogenase (NAD+) activity, GO:0016404: 15-hydroxyprostaglandin dehydrogenase (NAD+) activity, GO:0016491: oxidoreductase activity, GO:0045786: negative regulation of cell cycle, GO:0051287: NAD binding, GO:0055114: oxidation-reduction process, GO:0070403: NAD+ binding, GO:0097070: ductus arteriosus closure</t>
  </si>
  <si>
    <t>100039596_at</t>
  </si>
  <si>
    <t>transcription factor 24</t>
  </si>
  <si>
    <t>100038398_at</t>
  </si>
  <si>
    <t>predicted gene 10567</t>
  </si>
  <si>
    <t>18719_at</t>
  </si>
  <si>
    <t>phosphatidylinositol-4-phosphate 5-kinase, type 1 beta</t>
  </si>
  <si>
    <t>GO:0000166: nucleotide binding, GO:0001931: uropod, GO:0005515: protein binding, GO:0005524: ATP binding, GO:0016020: membrane, GO:0016301: kinase activity, GO:0016307: phosphatidylinositol phosphate kinase activity, GO:0016308: 1-phosphatidylinositol-4-phosphate 5-kinase activity, GO:0016310: phosphorylation, GO:0016740: transferase activity, GO:0046488: phosphatidylinositol metabolic process, GO:0046854: phosphatidylinositol phosphorylation</t>
  </si>
  <si>
    <t>00562: Inositol phosphate metabolism, 01100: Metabolic pathways, 04070: Phosphatidylinositol signaling system, 04144: Endocytosis, 04666: Fc gamma R-mediated phagocytosis, 04810: Regulation of actin cytoskeleton</t>
  </si>
  <si>
    <t>94227_at</t>
  </si>
  <si>
    <t>peptidase inhibitor 15</t>
  </si>
  <si>
    <t>GO:0005576: extracellular region, GO:0010466: negative regulation of peptidase activity, GO:0030414: peptidase inhibitor activity</t>
  </si>
  <si>
    <t>20564_at</t>
  </si>
  <si>
    <t>slit homolog 3 (Drosophila)</t>
  </si>
  <si>
    <t>04510: Focal adhesion, 04512: ECM-receptor interaction, 04514: Cell adhesion molecules (CAMs), 04810: Regulation of actin cytoskeleton, 05410: Hypertrophic cardiomyopathy (HCM), 05412: Arrhythmogenic right ventricular cardiomyopathy (ARVC), 05414: Dilated cardiomyopathy</t>
  </si>
  <si>
    <t>19039_at</t>
  </si>
  <si>
    <t>lectin, galactoside-binding, soluble, 3 binding protein</t>
  </si>
  <si>
    <t>GO:0005044: scavenger receptor activity, GO:0005044: scavenger receptor activity, GO:0005515: protein binding, GO:0005576: extracellular region, GO:0005578: proteinaceous extracellular matrix, GO:0006898: receptor-mediated endocytosis, GO:0006898: receptor-mediated endocytosis, GO:0007155: cell adhesion, GO:0016020: membrane</t>
  </si>
  <si>
    <t>66835_at</t>
  </si>
  <si>
    <t>small nucleolar RNA, C/D box 123</t>
  </si>
  <si>
    <t>18573_at</t>
  </si>
  <si>
    <t>phosphodiesterase 1A, calmodulin-dependent</t>
  </si>
  <si>
    <t>GO:0005102: receptor binding, GO:0005509: calcium ion binding, GO:0005576: extracellular region, GO:0005615: extracellular space, GO:0005615: extracellular space, GO:0005739: mitochondrion, GO:0007275: multicellular organismal development, GO:0007399: nervous system development, GO:0007411: axon guidance, GO:0007411: axon guidance, GO:0008285: negative regulation of cell proliferation, GO:0009887: organ morphogenesis, GO:0009887: organ morphogenesis, GO:0010629: negative regulation of gene expression, GO:0030154: cell differentiation, GO:0030308: negative regulation of cell growth, GO:0035385: Roundabout signaling pathway, GO:0048495: Roundabout binding, GO:0048846: axon extension involved in axon guidance, GO:0050919: negative chemotaxis, GO:0070100: negative regulation of chemokine-mediated signaling pathway</t>
  </si>
  <si>
    <t>67260_at</t>
  </si>
  <si>
    <t>LAG1 homolog, ceramide synthase 4</t>
  </si>
  <si>
    <t>71704_at</t>
  </si>
  <si>
    <t>Rho guanine nucleotide exchange factor (GEF) 3</t>
  </si>
  <si>
    <t>241226_at</t>
  </si>
  <si>
    <t>integrin alpha 8</t>
  </si>
  <si>
    <t>04630: Jak-STAT signaling pathway</t>
  </si>
  <si>
    <t>15446_at</t>
  </si>
  <si>
    <t>hydroxyprostaglandin dehydrogenase 15 (NAD)</t>
  </si>
  <si>
    <t>GO:0003824: catalytic activity, GO:0004114: 3',5'-cyclic-nucleotide phosphodiesterase activity, GO:0004115: 3',5'-cyclic-AMP phosphodiesterase activity, GO:0004117: calmodulin-dependent cyclic-nucleotide phosphodiesterase activity, GO:0005516: calmodulin binding, GO:0005634: nucleus, GO:0005737: cytoplasm, GO:0006198: cAMP catabolic process, GO:0007165: signal transduction, GO:0008081: phosphoric diester hydrolase activity, GO:0008152: metabolic process, GO:0016787: hydrolase activity, GO:0030553: cGMP binding, GO:0034391: regulation of smooth muscle cell apoptotic process, GO:0043025: neuronal cell body, GO:0046069: cGMP catabolic process, GO:0046872: metal ion binding, GO:0048101: calcium- and calmodulin-regulated 3',5'-cyclic-GMP phosphodiesterase activity, GO:0048660: regulation of smooth muscle cell proliferation</t>
  </si>
  <si>
    <t>00230: Purine metabolism, 04020: Calcium signaling pathway, 04742: Taste transduction</t>
  </si>
  <si>
    <t>17300_at</t>
  </si>
  <si>
    <t>forkhead box C1</t>
  </si>
  <si>
    <t>GO:0001656: metanephros development, GO:0001656: metanephros development, GO:0007155: cell adhesion, GO:0007229: integrin-mediated signaling pathway, GO:0007275: multicellular organismal development, GO:0007399: nervous system development, GO:0007613: memory, GO:0008305: integrin complex, GO:0014069: postsynaptic density, GO:0016020: membrane, GO:0016021: integral to membrane, GO:0030030: cell projection organization, GO:0030154: cell differentiation, GO:0030198: extracellular matrix organization, GO:0030511: positive regulation of transforming growth factor beta receptor signaling pathway, GO:0030511: positive regulation of transforming growth factor beta receptor signaling pathway, GO:0032591: dendritic spine membrane, GO:0042472: inner ear morphogenesis, GO:0043204: perikaryon, GO:0045177: apical part of cell, GO:0045184: establishment of protein localization, GO:0048745: smooth muscle tissue development, GO:2000721: positive regulation of transcription from RNA polymerase II promoter involved in smooth muscle cell differentiation</t>
  </si>
  <si>
    <t>GO:0000122: negative regulation of transcription from RNA polymerase II promoter, GO:0001501: skeletal system development, GO:0001503: ossification, GO:0001541: ovarian follicle development, GO:0001568: blood vessel development, GO:0001570: vasculogenesis, GO:0001654: eye development, GO:0001654: eye development, GO:0001656: metanephros development, GO:0001657: ureteric bud development, GO:0001701: in utero embryonic development, GO:0001756: somitogenesis, GO:0001822: kidney development, GO:0001945: lymph vessel development, GO:0001946: lymphangiogenesis, GO:0001974: blood vessel remodeling, GO:0003007: heart morphogenesis, GO:0003677: DNA binding, GO:0003690: double-stranded DNA binding, GO:0003700: sequence-specific DNA binding transcription factor activity, GO:0003700: sequence-specific DNA binding transcription factor activity, GO:0003705: RNA polymerase II distal enhancer sequence-specific DNA binding transcription factor activity, GO:0005634: nucleus, GO:0005667: transcription factor complex, GO:0005720: nuclear heterochromatin, GO:0005737: cytoplasm, GO:0006351: transcription, DNA-dependent, GO:0006355: regulation of transcription, DNA-dependent, GO:0006916: anti-apoptosis, GO:0007219: Notch signaling pathway, GO:0007420: brain development, GO:0007507: heart development, GO:0007507: heart development, GO:0007507: heart development, GO:0008134: transcription factor binding, GO:0008134: transcription factor binding, GO:0008301: DNA binding, bending, GO:0008301: DNA binding, bending, GO:0008354: germ cell migration, GO:0014032: neural crest cell development, GO:0014034: neural crest cell fate commitment, GO:0030199: collagen fibril organization, GO:0030203: glycosaminoglycan metabolic process, GO:0031490: chromatin DNA binding, GO:0032808: lacrimal gland development, GO:0035050: embryonic heart tube development, GO:0042475: odontogenesis of dentin-containing tooth, GO:0042475: odontogenesis of dentin-containing tooth, GO:0043010: camera-type eye development, GO:0043565: sequence-specific DNA binding, GO:0044212: transcription regulatory region DNA binding, GO:0045893: positive regulation of transcription, DNA-dependent, GO:0045930: negative regulation of mitotic cell cycle, GO:0045930: negative regulation of mitotic cell cycle, GO:0045944: positive regulation of transcription from RNA polymerase II promoter, GO:0045944: positive regulation of transcription from RNA polymerase II promoter, GO:0046620: regulation of organ growth, GO:0048010: vascular endothelial growth factor receptor signaling pathway, GO:0048341: paraxial mesoderm formation, GO:0048343: paraxial mesodermal cell fate commitment, GO:0048762: mesenchymal cell differentiation, GO:0048844: artery morphogenesis, GO:0050880: regulation of blood vessel size, GO:0051090: regulation of sequence-specific DNA binding transcription factor activity, GO:0055010: ventricular cardiac muscle tissue morphogenesis, GO:0060038: cardiac muscle cell proliferation</t>
  </si>
  <si>
    <t>330096_at</t>
  </si>
  <si>
    <t>shisa homolog 3 (Xenopus laevis)</t>
  </si>
  <si>
    <t>20266_at</t>
  </si>
  <si>
    <t>sodium channel, voltage-gated, type I, beta</t>
  </si>
  <si>
    <t>GO:0001518: voltage-gated sodium channel complex, GO:0005216: ion channel activity, GO:0005244: voltage-gated ion channel activity, GO:0005272: sodium channel activity, GO:0005515: protein binding, GO:0006810: transport, GO:0006811: ion transport, GO:0006814: sodium ion transport, GO:0007411: axon guidance, GO:0010976: positive regulation of neuron projection development, GO:0014704: intercalated disc, GO:0016020: membrane, GO:0016021: integral to membrane, GO:0017080: sodium channel regulator activity, GO:0019227: neuronal action potential propagation, GO:0019871: sodium channel inhibitor activity, GO:0021966: corticospinal neuron axon guidance, GO:0030315: T-tubule, GO:0033268: node of Ranvier, GO:0034706: sodium channel complex, GO:0034765: regulation of ion transmembrane transport, GO:0035725: sodium ion transmembrane transport, GO:0035725: sodium ion transmembrane transport, GO:0040011: locomotion, GO:0046684: response to pyrethroid, GO:0051899: membrane depolarization, GO:0060048: cardiac muscle contraction, GO:0060307: regulation of ventricular cardiomyocyte membrane repolarization, GO:0060371: regulation of atrial cardiomyocyte membrane depolarization, GO:0061337: cardiac conduction, GO:0071436: sodium ion export, GO:0086002: regulation of cardiac muscle cell action potential involved in contraction, GO:0086006: voltage-gated sodium channel activity involved in regulation of cardiac muscle cell action potential, GO:0086006: voltage-gated sodium channel activity involved in regulation of cardiac muscle cell action potential, GO:0086012: membrane depolarization involved in regulation of cardiac muscle cell action potential, GO:0086047: membrane depolarization involved in regulation of Purkinje myocyte cell action potential, GO:0086062: voltage-gated sodium channel activity involved in regulation of Purkinje myocyte action potential, GO:0086091: regulation of heart rate by cardiac conduction, GO:0090072: positive regulation of sodium ion transport via voltage-gated sodium channel activity, GO:2000649: regulation of sodium ion transmembrane transporter activity</t>
  </si>
  <si>
    <t>217430_at</t>
  </si>
  <si>
    <t>PQ loop repeat containing</t>
  </si>
  <si>
    <t>245527_at</t>
  </si>
  <si>
    <t>ectodysplasin A2 receptor</t>
  </si>
  <si>
    <t>GO:0004872: receptor activity, GO:0005575: cellular_component, GO:0005887: integral to plasma membrane, GO:0007275: multicellular organismal development, GO:0012501: programmed cell death, GO:0016020: membrane, GO:0016021: integral to membrane, GO:0030154: cell differentiation, GO:0046330: positive regulation of JNK cascade, GO:0051092: positive regulation of NF-kappaB transcription factor activity</t>
  </si>
  <si>
    <t>69327_at</t>
  </si>
  <si>
    <t>RIKEN cDNA 1700007K13 gene</t>
  </si>
  <si>
    <t>14778_at</t>
  </si>
  <si>
    <t>glutathione peroxidase 3</t>
  </si>
  <si>
    <t>GO:0004601: peroxidase activity, GO:0004602: glutathione peroxidase activity, GO:0004602: glutathione peroxidase activity, GO:0005576: extracellular region, GO:0005615: extracellular space, GO:0006749: glutathione metabolic process, GO:0006979: response to oxidative stress, GO:0008430: selenium binding, GO:0016491: oxidoreductase activity, GO:0042744: hydrogen peroxide catabolic process, GO:0042744: hydrogen peroxide catabolic process, GO:0043295: glutathione binding, GO:0051289: protein homotetramerization, GO:0055114: oxidation-reduction process</t>
  </si>
  <si>
    <t>110637_at</t>
  </si>
  <si>
    <t>glutamate receptor, ionotropic, kainate 4</t>
  </si>
  <si>
    <t>GO:0004872: receptor activity, GO:0004970: ionotropic glutamate receptor activity, GO:0005216: ion channel activity, GO:0005234: extracellular-glutamate-gated ion channel activity, GO:0005515: protein binding, GO:0005634: nucleus, GO:0005886: plasma membrane, GO:0006810: transport, GO:0006811: ion transport, GO:0016020: membrane, GO:0016021: integral to membrane, GO:0030054: cell junction, GO:0030424: axon, GO:0030425: dendrite, GO:0032983: kainate selective glutamate receptor complex, GO:0034220: ion transmembrane transport, GO:0042734: presynaptic membrane, GO:0043195: terminal button, GO:0043204: perikaryon, GO:0045202: synapse, GO:0045211: postsynaptic membrane</t>
  </si>
  <si>
    <t>100038582_at</t>
  </si>
  <si>
    <t>predicted gene 10824</t>
  </si>
  <si>
    <t>21412_at</t>
  </si>
  <si>
    <t>transcription factor 21</t>
  </si>
  <si>
    <t>GO:0000122: negative regulation of transcription from RNA polymerase II promoter, GO:0000122: negative regulation of transcription from RNA polymerase II promoter, GO:0001077: RNA polymerase II core promoter proximal region sequence-specific DNA binding transcription factor activity involved in positive regulation of transcription, GO:0001078: RNA polymerase II core promoter proximal region sequence-specific DNA binding transcription factor activity involved in negative regulation of transcription, GO:0001078: RNA polymerase II core promoter proximal region sequence-specific DNA binding transcription factor activity involved in negative regulation of transcription, GO:0001657: ureteric bud development, GO:0001658: branching involved in ureteric bud morphogenesis, GO:0001763: morphogenesis of a branching structure, GO:0001822: kidney development, GO:0001944: vasculature development, GO:0003677: DNA binding, GO:0005515: protein binding, GO:0005634: nucleus, GO:0005634: nucleus, GO:0006351: transcription, DNA-dependent, GO:0006355: regulation of transcription, DNA-dependent, GO:0007530: sex determination, GO:0007548: sex differentiation, GO:0009887: organ morphogenesis, GO:0014707: branchiomeric skeletal muscle development, GO:0030855: epithelial cell differentiation, GO:0031063: regulation of histone deacetylation, GO:0032835: glomerulus development, GO:0042826: histone deacetylase binding, GO:0043425: bHLH transcription factor binding, GO:0045944: positive regulation of transcription from RNA polymerase II promoter, GO:0046983: protein dimerization activity, GO:0048286: lung alveolus development, GO:0048536: spleen development, GO:0048557: embryonic digestive tract morphogenesis, GO:0048608: reproductive structure development, GO:0048732: gland development, GO:0050681: androgen receptor binding, GO:0060008: Sertoli cell differentiation, GO:0060021: palate development, GO:0060425: lung morphogenesis, GO:0060426: lung vasculature development, GO:0060435: bronchiole development, GO:0060539: diaphragm development, GO:0060541: respiratory system development, GO:0060766: negative regulation of androgen receptor signaling pathway, GO:0070888: E-box binding, GO:0072162: metanephric mesenchymal cell differentiation, GO:0072277: metanephric glomerular capillary formation</t>
  </si>
  <si>
    <t>GO:0005216: ion channel activity, GO:0005244: voltage-gated ion channel activity, GO:0005249: voltage-gated potassium channel activity, GO:0005249: voltage-gated potassium channel activity, GO:0005267: potassium channel activity, GO:0006810: transport, GO:0006811: ion transport, GO:0006813: potassium ion transport, GO:0006813: potassium ion transport, GO:0008076: voltage-gated potassium channel complex, GO:0016020: membrane, GO:0016021: integral to membrane, GO:0034765: regulation of ion transmembrane transport, GO:0055085: transmembrane transport, GO:0071805: potassium ion transmembrane transport</t>
  </si>
  <si>
    <t>100217419_at</t>
  </si>
  <si>
    <t>small nucleolar RNA, H/ACA box 52</t>
  </si>
  <si>
    <t>100316716_at</t>
  </si>
  <si>
    <t>microRNA 1983</t>
  </si>
  <si>
    <t>GO:0071230: cellular response to amino acid stimulus</t>
  </si>
  <si>
    <t>66120_at</t>
  </si>
  <si>
    <t>FK506 binding protein 11</t>
  </si>
  <si>
    <t>GO:0000413: protein peptidyl-prolyl isomerization, GO:0003755: peptidyl-prolyl cis-trans isomerase activity, GO:0005528: FK506 binding, GO:0006457: protein folding, GO:0016020: membrane, GO:0016021: integral to membrane, GO:0016853: isomerase activity, GO:0018208: peptidyl-proline modification</t>
  </si>
  <si>
    <t>104433_at</t>
  </si>
  <si>
    <t>small nucleolar RNA, H/ACA box 62</t>
  </si>
  <si>
    <t>GO:0005732: small nucleolar ribonucleoprotein complex, GO:0008150: biological_process</t>
  </si>
  <si>
    <t>276829_at</t>
  </si>
  <si>
    <t>smoothelin-like 2</t>
  </si>
  <si>
    <t>13685_at</t>
  </si>
  <si>
    <t>eukaryotic translation initiation factor 4E binding protein 1</t>
  </si>
  <si>
    <t>GO:0000082: G1/S transition of mitotic cell cycle, GO:0005515: protein binding, GO:0005634: nucleus, GO:0005737: cytoplasm, GO:0005737: cytoplasm, GO:0006417: regulation of translation, GO:0006446: regulation of translational initiation, GO:0008190: eukaryotic initiation factor 4E binding, GO:0008190: eukaryotic initiation factor 4E binding, GO:0008286: insulin receptor signaling pathway, GO:0017148: negative regulation of translation, GO:0030371: translation repressor activity, GO:0031333: negative regulation of protein complex assembly, GO:0031369: translation initiation factor binding, GO:0031929: TOR signaling cascade, GO:0043234: protein complex, GO:0045931: positive regulation of mitotic cell cycle, GO:0045947: negative regulation of translational initiation, GO:0045947: negative regulation of translational initiation</t>
  </si>
  <si>
    <t>03013: RNA transport, 04012: ErbB signaling pathway, 04150: mTOR signaling pathway, 04910: Insulin signaling pathway, 05221: Acute myeloid leukemia</t>
  </si>
  <si>
    <t>238384_at</t>
  </si>
  <si>
    <t>solute carrier family 24 (sodium/potassium/calcium exchanger), member 4</t>
  </si>
  <si>
    <t>GO:0005432: calcium:sodium antiporter activity, GO:0005887: integral to plasma membrane, GO:0006810: transport, GO:0006811: ion transport, GO:0006813: potassium ion transport, GO:0006814: sodium ion transport, GO:0006816: calcium ion transport, GO:0008273: calcium, potassium:sodium antiporter activity, GO:0015293: symporter activity, GO:0015297: antiporter activity, GO:0016020: membrane, GO:0016021: integral to membrane, GO:0055085: transmembrane transport</t>
  </si>
  <si>
    <t>20471_at</t>
  </si>
  <si>
    <t>sine oculis-related homeobox 1</t>
  </si>
  <si>
    <t>226922_at</t>
  </si>
  <si>
    <t>potassium voltage-gated channel, subfamily Q, member 5</t>
  </si>
  <si>
    <t>GO:0000122: negative regulation of transcription from RNA polymerase II promoter, GO:0001657: ureteric bud development, GO:0001657: ureteric bud development, GO:0001658: branching involved in ureteric bud morphogenesis, GO:0001759: organ induction, GO:0001822: kidney development, GO:0003151: outflow tract morphogenesis, GO:0003677: DNA binding, GO:0003682: chromatin binding, GO:0003700: sequence-specific DNA binding transcription factor activity, GO:0005515: protein binding, GO:0005634: nucleus, GO:0005634: nucleus, GO:0005667: transcription factor complex, GO:0005667: transcription factor complex, GO:0005730: nucleolus, GO:0006351: transcription, DNA-dependent, GO:0006355: regulation of transcription, DNA-dependent, GO:0007275: multicellular organismal development, GO:0007389: pattern specification process, GO:0007389: pattern specification process, GO:0007519: skeletal muscle tissue development, GO:0007605: sensory perception of sound, GO:0021610: facial nerve morphogenesis, GO:0030855: epithelial cell differentiation, GO:0030878: thyroid gland development, GO:0034504: protein localization to nucleus, GO:0035909: aorta morphogenesis, GO:0042472: inner ear morphogenesis, GO:0042474: middle ear morphogenesis, GO:0043524: negative regulation of neuron apoptotic process, GO:0043565: sequence-specific DNA binding, GO:0043565: sequence-specific DNA binding, GO:0044212: transcription regulatory region DNA binding, GO:0045664: regulation of neuron differentiation, GO:0045893: positive regulation of transcription, DNA-dependent, GO:0045944: positive regulation of transcription from RNA polymerase II promoter, GO:0045944: positive regulation of transcription from RNA polymerase II promoter, GO:0045944: positive regulation of transcription from RNA polymerase II promoter, GO:0048538: thymus development, GO:0048538: thymus development, GO:0048699: generation of neurons, GO:0048701: embryonic cranial skeleton morphogenesis, GO:0048704: embryonic skeletal system morphogenesis, GO:0048705: skeletal system morphogenesis, GO:0048839: inner ear development, GO:0048856: anatomical structure development, GO:0051451: myoblast migration, GO:0060037: pharyngeal system development, GO:0071599: otic vesicle development, GO:0072001: renal system development, GO:0072075: metanephric mesenchyme development, GO:0072095: regulation of branch elongation involved in ureteric bud branching, GO:0072107: positive regulation of ureteric bud formation, GO:0072172: mesonephric tubule formation, GO:0072193: ureter smooth muscle cell differentiation, GO:0072513: positive regulation of secondary heart field cardioblast proliferation, GO:0090103: cochlea morphogenesis, GO:0090190: positive regulation of branching involved in ureteric bud morphogenesis, GO:0090191: negative regulation of branching involved in ureteric bud morphogenesis, GO:2000729: positive regulation of mesenchymal cell proliferation involved in ureter development</t>
  </si>
  <si>
    <t>GO:0005109: frizzled binding, GO:0005515: protein binding, GO:0005615: extracellular space, GO:0005737: cytoplasm, GO:0016477: cell migration, GO:0017147: Wnt-protein binding, GO:0031012: extracellular matrix, GO:0032092: positive regulation of protein binding, GO:0033690: positive regulation of osteoblast proliferation, GO:0043932: ossification involved in bone remodeling, GO:0045669: positive regulation of osteoblast differentiation, GO:0060071: Wnt receptor signaling pathway, planar cell polarity pathway, GO:0060122: inner ear receptor stereocilium organization, GO:0090090: negative regulation of canonical Wnt receptor signaling pathway, GO:0090103: cochlea morphogenesis, GO:0090177: establishment of planar polarity involved in neural tube closure</t>
  </si>
  <si>
    <t>108927_at</t>
  </si>
  <si>
    <t>lipoma HMGIC fusion partner</t>
  </si>
  <si>
    <t>56277_at</t>
  </si>
  <si>
    <t>transmembrane protein 45a</t>
  </si>
  <si>
    <t>GO:0003674: molecular_function, GO:0005887: integral to plasma membrane, GO:0008150: biological_process, GO:0016021: integral to membrane</t>
  </si>
  <si>
    <t>269784_at</t>
  </si>
  <si>
    <t>contactin 4</t>
  </si>
  <si>
    <t>GO:0005576: extracellular region, GO:0005886: plasma membrane, GO:0007155: cell adhesion, GO:0007399: nervous system development, GO:0016020: membrane, GO:0031175: neuron projection development, GO:0031225: anchored to membrane, GO:0045665: negative regulation of neuron differentiation</t>
  </si>
  <si>
    <t>100861570_at</t>
  </si>
  <si>
    <t>Im snoRNA 1</t>
  </si>
  <si>
    <t>233744_at</t>
  </si>
  <si>
    <t>spondin 1, (f-spondin) extracellular matrix protein</t>
  </si>
  <si>
    <t>GO:0005576: extracellular region, GO:0005578: proteinaceous extracellular matrix, GO:0005615: extracellular space, GO:0007155: cell adhesion</t>
  </si>
  <si>
    <t>18417_at</t>
  </si>
  <si>
    <t>claudin 11</t>
  </si>
  <si>
    <t>BMP4+Wnt3A mCherry- 3</t>
  </si>
  <si>
    <t>BMP4+Wnt3A mCherry+ 1</t>
  </si>
  <si>
    <t>BMP4+FGF2 mCherry+ 1</t>
  </si>
  <si>
    <t>BMP4+FGF2 mCherry+ 2</t>
  </si>
  <si>
    <t>BMP4+FGF2 mCherry+ 3</t>
  </si>
  <si>
    <t>BMP4+Wnt3A mCherry- 1</t>
  </si>
  <si>
    <t>BMP4+Wnt3A mCherry- 2</t>
  </si>
  <si>
    <t>18740_at</t>
    <phoneticPr fontId="23" type="noConversion"/>
  </si>
  <si>
    <t>GO:0005198: structural molecule activity, GO:0005515: protein binding, GO:0005886: plasma membrane, GO:0005887: integral to plasma membrane, GO:0005923: tight junction, GO:0005923: tight junction, GO:0007155: cell adhesion, GO:0007283: spermatogenesis, GO:0008366: axon ensheathment, GO:0016020: membrane, GO:0016021: integral to membrane, GO:0030054: cell junction</t>
  </si>
  <si>
    <t>56791_at</t>
  </si>
  <si>
    <t>ubiquitin-conjugating enzyme E2L 6</t>
  </si>
  <si>
    <t>GO:0000166: nucleotide binding, GO:0004842: ubiquitin-protein ligase activity, GO:0005515: protein binding, GO:0005524: ATP binding, GO:0008152: metabolic process, GO:0016567: protein ubiquitination, GO:0016874: ligase activity, GO:0016881: acid-amino acid ligase activity, GO:0019787: small conjugating protein ligase activity, GO:0019941: modification-dependent protein catabolic process, GO:0032020: ISG15-protein conjugation, GO:0042296: ISG15 ligase activity</t>
  </si>
  <si>
    <t>04120: Ubiquitin mediated proteolysis, 05012: Parkinson's disease</t>
  </si>
  <si>
    <t>449562_at</t>
  </si>
  <si>
    <t>snoRNA AF357425</t>
  </si>
  <si>
    <t>329872_at</t>
  </si>
  <si>
    <t>Fras1 related extracellular matrix protein 1</t>
  </si>
  <si>
    <t>GO:0005576: extracellular region, GO:0005578: proteinaceous extracellular matrix, GO:0005604: basement membrane, GO:0007154: cell communication, GO:0007155: cell adhesion, GO:0007160: cell-matrix adhesion, GO:0007275: multicellular organismal development, GO:0016021: integral to membrane, GO:0030246: carbohydrate binding, GO:0046872: metal ion binding, GO:0097094: craniofacial suture morphogenesis</t>
  </si>
  <si>
    <t>13345_at</t>
  </si>
  <si>
    <t>twist homolog 2 (Drosophila)</t>
  </si>
  <si>
    <t>68588_at</t>
  </si>
  <si>
    <t>collagen triple helix repeat containing 1</t>
  </si>
  <si>
    <t>BMP4+Wnt3A mCherry+ 2</t>
  </si>
  <si>
    <t>BMP4+Wnt3A mCherry+ 3</t>
  </si>
  <si>
    <t>lung Nkx2-1 negative</t>
    <phoneticPr fontId="23" type="noConversion"/>
  </si>
  <si>
    <t>lung Nkx2-1 positive</t>
    <phoneticPr fontId="23" type="noConversion"/>
  </si>
  <si>
    <t>thyroid Nkx2-1 positive</t>
    <phoneticPr fontId="23" type="noConversion"/>
  </si>
  <si>
    <t>GO:0000122: negative regulation of transcription from RNA polymerase II promoter, GO:0000122: negative regulation of transcription from RNA polymerase II promoter, GO:0001076: RNA polymerase II transcription factor binding transcription factor activity, GO:0001649: osteoblast differentiation, GO:0003677: DNA binding, GO:0003682: chromatin binding, GO:0003700: sequence-specific DNA binding transcription factor activity, GO:0005515: protein binding, GO:0005634: nucleus, GO:0005667: transcription factor complex, GO:0005737: cytoplasm, GO:0006351: transcription, DNA-dependent, GO:0006355: regulation of transcription, DNA-dependent, GO:0006357: regulation of transcription from RNA polymerase II promoter, GO:0007275: multicellular organismal development, GO:0008285: negative regulation of cell proliferation, GO:0010838: positive regulation of keratinocyte proliferation, GO:0019904: protein domain specific binding, GO:0030154: cell differentiation, GO:0032720: negative regulation of tumor necrosis factor production, GO:0032720: negative regulation of tumor necrosis factor production, GO:0043066: negative regulation of apoptotic process, GO:0043392: negative regulation of DNA binding, GO:0044092: negative regulation of molecular function, GO:0045638: negative regulation of myeloid cell differentiation, GO:0045668: negative regulation of osteoblast differentiation, GO:0045668: negative regulation of osteoblast differentiation, GO:0045892: negative regulation of transcription, DNA-dependent, GO:0046983: protein dimerization activity, GO:0048701: embryonic cranial skeleton morphogenesis, GO:0060325: face morphogenesis, GO:0061303: cornea development in camera-type eye</t>
  </si>
  <si>
    <t>67119_at</t>
  </si>
  <si>
    <t>coiled-coil domain containing 159</t>
  </si>
  <si>
    <t>BMP4+FGF2 mCherry- 1</t>
  </si>
  <si>
    <t>BMP4+FGF2 mCherry- 2</t>
  </si>
  <si>
    <t>BMP4+FGF2 mCherry- 3</t>
  </si>
  <si>
    <t>both</t>
    <phoneticPr fontId="23" type="noConversion"/>
  </si>
  <si>
    <t>#</t>
    <phoneticPr fontId="23" type="noConversion"/>
  </si>
  <si>
    <t># *</t>
    <phoneticPr fontId="23" type="noConversion"/>
  </si>
  <si>
    <t>*</t>
    <phoneticPr fontId="23" type="noConversion"/>
  </si>
  <si>
    <t># * O</t>
    <phoneticPr fontId="23" type="noConversion"/>
  </si>
  <si>
    <t>O T</t>
    <phoneticPr fontId="23" type="noConversion"/>
  </si>
  <si>
    <t>O</t>
    <phoneticPr fontId="23" type="noConversion"/>
  </si>
  <si>
    <t>O T</t>
    <phoneticPr fontId="23" type="noConversion"/>
  </si>
  <si>
    <t>T</t>
    <phoneticPr fontId="23" type="noConversion"/>
  </si>
  <si>
    <t># * O T</t>
    <phoneticPr fontId="23" type="noConversion"/>
  </si>
  <si>
    <t xml:space="preserve"># </t>
    <phoneticPr fontId="23" type="noConversion"/>
  </si>
  <si>
    <t># *</t>
    <phoneticPr fontId="23" type="noConversion"/>
  </si>
  <si>
    <t>O</t>
    <phoneticPr fontId="23" type="noConversion"/>
  </si>
  <si>
    <t>T</t>
    <phoneticPr fontId="23" type="noConversion"/>
  </si>
  <si>
    <t>*</t>
    <phoneticPr fontId="23" type="noConversion"/>
  </si>
  <si>
    <t>#</t>
    <phoneticPr fontId="23" type="noConversion"/>
  </si>
  <si>
    <t>enriched in lung (Gtex portal)</t>
    <phoneticPr fontId="23" type="noConversion"/>
  </si>
  <si>
    <t>enriched in lung (Genepaint)</t>
    <phoneticPr fontId="23" type="noConversion"/>
  </si>
  <si>
    <t>enriched in thyroid (Gtex portal)</t>
    <phoneticPr fontId="23" type="noConversion"/>
  </si>
  <si>
    <t>enriched in thyroid (Genepaint)</t>
    <phoneticPr fontId="23" type="noConversion"/>
  </si>
  <si>
    <t>Nanci</t>
  </si>
  <si>
    <t>Mouse ESC derived putative lung and thyroid lineages. As published  in figure 4 of Serra/Kotton. Development 2017. PMID 28947536</t>
  </si>
  <si>
    <t>Heat map representing unsupervised hierarchical clustering of samples analyzed in the microarray, based on the 1315 differentially expressed transcripts by ‘interaction effect’ of specification medium and Nkx2-1 expression (FDR&lt;0.25 and FC&gt;2), as detailed in the Materials and Methods. Transcripts with similar patterns of gene expression were first grouped into nine clusters (see prior worsksheet) and then heatmap on this worksheet was construced of selected transcripts from five of the clusters shown in  fig 4D (see prior worksheet). Clusters 2 and 5, differentially expressed lung- or thyroid-specific transcripts; cluster 6, transcripts expressed in both ‘lung’ and ‘thyroid’ conditions; clusters 1 and 3, selected mesenchymal or non-lung, non-thyroid endodermal transcripts differentially expressed in Nkx2-1mCherry− cells.</t>
  </si>
  <si>
    <r>
      <t>"Thryoid Medium"  Nkx2-1</t>
    </r>
    <r>
      <rPr>
        <sz val="11"/>
        <color theme="1"/>
        <rFont val="Calibri (Body)_x0000_"/>
      </rPr>
      <t>mCherry+</t>
    </r>
  </si>
  <si>
    <t>"Lung Medium"  Nkx2-1mCherry+</t>
  </si>
  <si>
    <t>Cluster identity name</t>
  </si>
  <si>
    <r>
      <t>"Thryoid Medium"  Nkx2-1</t>
    </r>
    <r>
      <rPr>
        <sz val="11"/>
        <color theme="1"/>
        <rFont val="Calibri (Body)_x0000_"/>
      </rPr>
      <t>mCherry-</t>
    </r>
  </si>
  <si>
    <t>"Lung Medium"  Nkx2-1mCherry-</t>
  </si>
  <si>
    <t xml:space="preserve">Affymetrix microarray expression levels of each sorted population (as shown in figure 4D of the manuscript) are represented on this worksheet. The heat map represents unsupervised hierarchical clustering of samples analyzed in the microarray, based on the 1315 differentially expressed transcripts by ‘interaction effect’ of specification medium and Nkx2-1 expression (FDR&lt;0.25 and FC&gt;2), as detailed in the Materials and Methods  of Serra/Kotton. Transcripts with similar patterns of gene expression were grouped into nine clusters for  this worsksheet, and then heatmap on the  following worksheet  for figure 4E was construced of selected transcripts from five of the clusters. Clusters 2 and 5, differentially expressed lung- or thyroid-specific transcripts; cluster 6, transcripts expressed in both ‘lung’ and ‘thyroid’ conditions; clusters 1 and 3, selected mesenchymal or non-lung, non-thyroid endodermal transcripts differentially expressed in Nkx2-1mCherry− cells.See heading above each cell culture media. Curated list is on following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</si>
</sst>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rgb="FF0000FF"/>
      <name val="Calibri"/>
      <family val="2"/>
      <scheme val="minor"/>
    </font>
    <font>
      <u/>
      <sz val="11"/>
      <color rgb="FF0000FF"/>
      <name val="Calibri"/>
      <family val="2"/>
      <scheme val="minor"/>
    </font>
    <font>
      <b/>
      <sz val="11"/>
      <name val="Calibri"/>
      <family val="2"/>
      <scheme val="minor"/>
    </font>
    <font>
      <shadow/>
      <sz val="11"/>
      <color theme="1"/>
      <name val="Calibri"/>
      <family val="2"/>
      <scheme val="minor"/>
    </font>
    <font>
      <sz val="9"/>
      <color theme="1"/>
      <name val="Calibri"/>
      <family val="2"/>
      <scheme val="minor"/>
    </font>
    <font>
      <sz val="8"/>
      <name val="Verdana"/>
    </font>
    <font>
      <sz val="20"/>
      <color indexed="8"/>
      <name val="Calibri"/>
    </font>
    <font>
      <sz val="18"/>
      <color indexed="8"/>
      <name val="Calibri"/>
    </font>
    <font>
      <b/>
      <sz val="16"/>
      <color indexed="8"/>
      <name val="Calibri"/>
    </font>
    <font>
      <b/>
      <sz val="11"/>
      <color indexed="8"/>
      <name val="Calibri"/>
      <family val="2"/>
    </font>
    <font>
      <u/>
      <sz val="11"/>
      <color theme="11"/>
      <name val="Calibri"/>
      <family val="2"/>
      <scheme val="minor"/>
    </font>
    <font>
      <sz val="11"/>
      <color theme="1"/>
      <name val="Calibri (Body)_x0000_"/>
    </font>
  </fonts>
  <fills count="5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0000"/>
        <bgColor indexed="64"/>
      </patternFill>
    </fill>
    <fill>
      <patternFill patternType="solid">
        <fgColor rgb="FF9898FF"/>
        <bgColor indexed="64"/>
      </patternFill>
    </fill>
    <fill>
      <patternFill patternType="solid">
        <fgColor rgb="FF9D9DFF"/>
        <bgColor indexed="64"/>
      </patternFill>
    </fill>
    <fill>
      <patternFill patternType="solid">
        <fgColor rgb="FFB6B6FF"/>
        <bgColor indexed="64"/>
      </patternFill>
    </fill>
    <fill>
      <patternFill patternType="solid">
        <fgColor rgb="FFBBBBFF"/>
        <bgColor indexed="64"/>
      </patternFill>
    </fill>
    <fill>
      <patternFill patternType="solid">
        <fgColor rgb="FF9C9CFF"/>
        <bgColor indexed="64"/>
      </patternFill>
    </fill>
    <fill>
      <patternFill patternType="solid">
        <fgColor rgb="FFC0C0FF"/>
        <bgColor indexed="64"/>
      </patternFill>
    </fill>
    <fill>
      <patternFill patternType="solid">
        <fgColor rgb="FFFF7A7A"/>
        <bgColor indexed="64"/>
      </patternFill>
    </fill>
    <fill>
      <patternFill patternType="solid">
        <fgColor rgb="FFFFA4A4"/>
        <bgColor indexed="64"/>
      </patternFill>
    </fill>
    <fill>
      <patternFill patternType="solid">
        <fgColor rgb="FFF6F6FF"/>
        <bgColor indexed="64"/>
      </patternFill>
    </fill>
    <fill>
      <patternFill patternType="solid">
        <fgColor rgb="FFD8D8FF"/>
        <bgColor indexed="64"/>
      </patternFill>
    </fill>
    <fill>
      <patternFill patternType="solid">
        <fgColor rgb="FFFBFBFF"/>
        <bgColor indexed="64"/>
      </patternFill>
    </fill>
    <fill>
      <patternFill patternType="solid">
        <fgColor rgb="FFA5A5FF"/>
        <bgColor indexed="64"/>
      </patternFill>
    </fill>
    <fill>
      <patternFill patternType="solid">
        <fgColor rgb="FFBABAFF"/>
        <bgColor indexed="64"/>
      </patternFill>
    </fill>
    <fill>
      <patternFill patternType="solid">
        <fgColor rgb="FFC6C6FF"/>
        <bgColor indexed="64"/>
      </patternFill>
    </fill>
    <fill>
      <patternFill patternType="solid">
        <fgColor rgb="FFAAAAFF"/>
        <bgColor indexed="64"/>
      </patternFill>
    </fill>
    <fill>
      <patternFill patternType="solid">
        <fgColor rgb="FFF2F2FF"/>
        <bgColor indexed="64"/>
      </patternFill>
    </fill>
    <fill>
      <patternFill patternType="solid">
        <fgColor rgb="FF8989FF"/>
        <bgColor indexed="64"/>
      </patternFill>
    </fill>
    <fill>
      <patternFill patternType="solid">
        <fgColor rgb="FFFF1F1F"/>
        <bgColor indexed="64"/>
      </patternFill>
    </fill>
    <fill>
      <patternFill patternType="solid">
        <fgColor rgb="FFBDBDFF"/>
        <bgColor indexed="64"/>
      </patternFill>
    </fill>
    <fill>
      <patternFill patternType="solid">
        <fgColor rgb="FFE0E0FF"/>
        <bgColor indexed="64"/>
      </patternFill>
    </fill>
    <fill>
      <patternFill patternType="solid">
        <fgColor rgb="FFA2A2FF"/>
        <bgColor indexed="64"/>
      </patternFill>
    </fill>
    <fill>
      <patternFill patternType="solid">
        <fgColor rgb="FFCFCFFF"/>
        <bgColor indexed="64"/>
      </patternFill>
    </fill>
    <fill>
      <patternFill patternType="solid">
        <fgColor rgb="FFDFDFFF"/>
        <bgColor indexed="64"/>
      </patternFill>
    </fill>
    <fill>
      <patternFill patternType="solid">
        <fgColor rgb="FFA8A8FF"/>
        <bgColor indexed="64"/>
      </patternFill>
    </fill>
    <fill>
      <patternFill patternType="solid">
        <fgColor rgb="FFCECEFF"/>
        <bgColor indexed="64"/>
      </patternFill>
    </fill>
    <fill>
      <patternFill patternType="solid">
        <fgColor rgb="FFFF1E1E"/>
        <bgColor indexed="64"/>
      </patternFill>
    </fill>
    <fill>
      <patternFill patternType="solid">
        <fgColor rgb="FFFF9898"/>
        <bgColor indexed="64"/>
      </patternFill>
    </fill>
    <fill>
      <patternFill patternType="solid">
        <fgColor rgb="FFB3B3FF"/>
        <bgColor indexed="64"/>
      </patternFill>
    </fill>
    <fill>
      <patternFill patternType="solid">
        <fgColor rgb="FF9B9BFF"/>
        <bgColor indexed="64"/>
      </patternFill>
    </fill>
    <fill>
      <patternFill patternType="solid">
        <fgColor rgb="FFD7D7FF"/>
        <bgColor indexed="64"/>
      </patternFill>
    </fill>
    <fill>
      <patternFill patternType="solid">
        <fgColor rgb="FFB4B4FF"/>
        <bgColor indexed="64"/>
      </patternFill>
    </fill>
    <fill>
      <patternFill patternType="solid">
        <fgColor rgb="FFDEDEFF"/>
        <bgColor indexed="64"/>
      </patternFill>
    </fill>
    <fill>
      <patternFill patternType="solid">
        <fgColor rgb="FFB8B8FF"/>
        <bgColor indexed="64"/>
      </patternFill>
    </fill>
    <fill>
      <patternFill patternType="solid">
        <fgColor rgb="FFFF0B0B"/>
        <bgColor indexed="64"/>
      </patternFill>
    </fill>
    <fill>
      <patternFill patternType="solid">
        <fgColor rgb="FFFF1111"/>
        <bgColor indexed="64"/>
      </patternFill>
    </fill>
    <fill>
      <patternFill patternType="solid">
        <fgColor rgb="FFCDCDFF"/>
        <bgColor indexed="64"/>
      </patternFill>
    </fill>
    <fill>
      <patternFill patternType="solid">
        <fgColor rgb="FFA9A9FF"/>
        <bgColor indexed="64"/>
      </patternFill>
    </fill>
    <fill>
      <patternFill patternType="solid">
        <fgColor rgb="FFA7A7FF"/>
        <bgColor indexed="64"/>
      </patternFill>
    </fill>
    <fill>
      <patternFill patternType="solid">
        <fgColor rgb="FF9E9EFF"/>
        <bgColor indexed="64"/>
      </patternFill>
    </fill>
    <fill>
      <patternFill patternType="solid">
        <fgColor rgb="FFB7B7FF"/>
        <bgColor indexed="64"/>
      </patternFill>
    </fill>
    <fill>
      <patternFill patternType="solid">
        <fgColor rgb="FFBEBEFF"/>
        <bgColor indexed="64"/>
      </patternFill>
    </fill>
    <fill>
      <patternFill patternType="solid">
        <fgColor rgb="FFFFF4F4"/>
        <bgColor indexed="64"/>
      </patternFill>
    </fill>
    <fill>
      <patternFill patternType="solid">
        <fgColor rgb="FF9696FF"/>
        <bgColor indexed="64"/>
      </patternFill>
    </fill>
    <fill>
      <patternFill patternType="solid">
        <fgColor rgb="FF7070FF"/>
        <bgColor indexed="64"/>
      </patternFill>
    </fill>
    <fill>
      <patternFill patternType="solid">
        <fgColor rgb="FFFF1414"/>
        <bgColor indexed="64"/>
      </patternFill>
    </fill>
    <fill>
      <patternFill patternType="solid">
        <fgColor rgb="FFFF7777"/>
        <bgColor indexed="64"/>
      </patternFill>
    </fill>
    <fill>
      <patternFill patternType="solid">
        <fgColor rgb="FFC2C2FF"/>
        <bgColor indexed="64"/>
      </patternFill>
    </fill>
    <fill>
      <patternFill patternType="solid">
        <fgColor rgb="FFE2E2FF"/>
        <bgColor indexed="64"/>
      </patternFill>
    </fill>
    <fill>
      <patternFill patternType="solid">
        <fgColor rgb="FFDBDBFF"/>
        <bgColor indexed="64"/>
      </patternFill>
    </fill>
    <fill>
      <patternFill patternType="solid">
        <fgColor rgb="FFE8E8FF"/>
        <bgColor indexed="64"/>
      </patternFill>
    </fill>
    <fill>
      <patternFill patternType="solid">
        <fgColor rgb="FFC5C5FF"/>
        <bgColor indexed="64"/>
      </patternFill>
    </fill>
    <fill>
      <patternFill patternType="solid">
        <fgColor rgb="FFABABFF"/>
        <bgColor indexed="64"/>
      </patternFill>
    </fill>
    <fill>
      <patternFill patternType="solid">
        <fgColor rgb="FFC9C9FF"/>
        <bgColor indexed="64"/>
      </patternFill>
    </fill>
    <fill>
      <patternFill patternType="solid">
        <fgColor rgb="FF9292FF"/>
        <bgColor indexed="64"/>
      </patternFill>
    </fill>
    <fill>
      <patternFill patternType="solid">
        <fgColor rgb="FFFFF8F8"/>
        <bgColor indexed="64"/>
      </patternFill>
    </fill>
    <fill>
      <patternFill patternType="solid">
        <fgColor rgb="FFFF5656"/>
        <bgColor indexed="64"/>
      </patternFill>
    </fill>
    <fill>
      <patternFill patternType="solid">
        <fgColor rgb="FFFF6464"/>
        <bgColor indexed="64"/>
      </patternFill>
    </fill>
    <fill>
      <patternFill patternType="solid">
        <fgColor rgb="FFB9B9FF"/>
        <bgColor indexed="64"/>
      </patternFill>
    </fill>
    <fill>
      <patternFill patternType="solid">
        <fgColor rgb="FF8C8CFF"/>
        <bgColor indexed="64"/>
      </patternFill>
    </fill>
    <fill>
      <patternFill patternType="solid">
        <fgColor rgb="FFA1A1FF"/>
        <bgColor indexed="64"/>
      </patternFill>
    </fill>
    <fill>
      <patternFill patternType="solid">
        <fgColor rgb="FFFCFCFF"/>
        <bgColor indexed="64"/>
      </patternFill>
    </fill>
    <fill>
      <patternFill patternType="solid">
        <fgColor rgb="FFBFBFFF"/>
        <bgColor indexed="64"/>
      </patternFill>
    </fill>
    <fill>
      <patternFill patternType="solid">
        <fgColor rgb="FF7777FF"/>
        <bgColor indexed="64"/>
      </patternFill>
    </fill>
    <fill>
      <patternFill patternType="solid">
        <fgColor rgb="FFFF5050"/>
        <bgColor indexed="64"/>
      </patternFill>
    </fill>
    <fill>
      <patternFill patternType="solid">
        <fgColor rgb="FFFF6060"/>
        <bgColor indexed="64"/>
      </patternFill>
    </fill>
    <fill>
      <patternFill patternType="solid">
        <fgColor rgb="FFCBCBFF"/>
        <bgColor indexed="64"/>
      </patternFill>
    </fill>
    <fill>
      <patternFill patternType="solid">
        <fgColor rgb="FFA0A0FF"/>
        <bgColor indexed="64"/>
      </patternFill>
    </fill>
    <fill>
      <patternFill patternType="solid">
        <fgColor rgb="FFA6A6FF"/>
        <bgColor indexed="64"/>
      </patternFill>
    </fill>
    <fill>
      <patternFill patternType="solid">
        <fgColor rgb="FFD6D6FF"/>
        <bgColor indexed="64"/>
      </patternFill>
    </fill>
    <fill>
      <patternFill patternType="solid">
        <fgColor rgb="FFAEAEFF"/>
        <bgColor indexed="64"/>
      </patternFill>
    </fill>
    <fill>
      <patternFill patternType="solid">
        <fgColor rgb="FFFF3737"/>
        <bgColor indexed="64"/>
      </patternFill>
    </fill>
    <fill>
      <patternFill patternType="solid">
        <fgColor rgb="FFFF2222"/>
        <bgColor indexed="64"/>
      </patternFill>
    </fill>
    <fill>
      <patternFill patternType="solid">
        <fgColor rgb="FFFF3030"/>
        <bgColor indexed="64"/>
      </patternFill>
    </fill>
    <fill>
      <patternFill patternType="solid">
        <fgColor rgb="FF8F8FFF"/>
        <bgColor indexed="64"/>
      </patternFill>
    </fill>
    <fill>
      <patternFill patternType="solid">
        <fgColor rgb="FFC8C8FF"/>
        <bgColor indexed="64"/>
      </patternFill>
    </fill>
    <fill>
      <patternFill patternType="solid">
        <fgColor rgb="FFF4F4FF"/>
        <bgColor indexed="64"/>
      </patternFill>
    </fill>
    <fill>
      <patternFill patternType="solid">
        <fgColor rgb="FFB2B2FF"/>
        <bgColor indexed="64"/>
      </patternFill>
    </fill>
    <fill>
      <patternFill patternType="solid">
        <fgColor rgb="FFD2D2FF"/>
        <bgColor indexed="64"/>
      </patternFill>
    </fill>
    <fill>
      <patternFill patternType="solid">
        <fgColor rgb="FF6C6CFF"/>
        <bgColor indexed="64"/>
      </patternFill>
    </fill>
    <fill>
      <patternFill patternType="solid">
        <fgColor rgb="FFFF1010"/>
        <bgColor indexed="64"/>
      </patternFill>
    </fill>
    <fill>
      <patternFill patternType="solid">
        <fgColor rgb="FFFF3E3E"/>
        <bgColor indexed="64"/>
      </patternFill>
    </fill>
    <fill>
      <patternFill patternType="solid">
        <fgColor rgb="FFFF4D4D"/>
        <bgColor indexed="64"/>
      </patternFill>
    </fill>
    <fill>
      <patternFill patternType="solid">
        <fgColor rgb="FFD1D1FF"/>
        <bgColor indexed="64"/>
      </patternFill>
    </fill>
    <fill>
      <patternFill patternType="solid">
        <fgColor rgb="FFBCBCFF"/>
        <bgColor indexed="64"/>
      </patternFill>
    </fill>
    <fill>
      <patternFill patternType="solid">
        <fgColor rgb="FF7171FF"/>
        <bgColor indexed="64"/>
      </patternFill>
    </fill>
    <fill>
      <patternFill patternType="solid">
        <fgColor rgb="FFFF3232"/>
        <bgColor indexed="64"/>
      </patternFill>
    </fill>
    <fill>
      <patternFill patternType="solid">
        <fgColor rgb="FFFF3535"/>
        <bgColor indexed="64"/>
      </patternFill>
    </fill>
    <fill>
      <patternFill patternType="solid">
        <fgColor rgb="FF8383FF"/>
        <bgColor indexed="64"/>
      </patternFill>
    </fill>
    <fill>
      <patternFill patternType="solid">
        <fgColor rgb="FFCACAFF"/>
        <bgColor indexed="64"/>
      </patternFill>
    </fill>
    <fill>
      <patternFill patternType="solid">
        <fgColor rgb="FFC3C3FF"/>
        <bgColor indexed="64"/>
      </patternFill>
    </fill>
    <fill>
      <patternFill patternType="solid">
        <fgColor rgb="FFFF2323"/>
        <bgColor indexed="64"/>
      </patternFill>
    </fill>
    <fill>
      <patternFill patternType="solid">
        <fgColor rgb="FFFF2F2F"/>
        <bgColor indexed="64"/>
      </patternFill>
    </fill>
    <fill>
      <patternFill patternType="solid">
        <fgColor rgb="FFACACFF"/>
        <bgColor indexed="64"/>
      </patternFill>
    </fill>
    <fill>
      <patternFill patternType="solid">
        <fgColor rgb="FFFF2020"/>
        <bgColor indexed="64"/>
      </patternFill>
    </fill>
    <fill>
      <patternFill patternType="solid">
        <fgColor rgb="FFFF3B3B"/>
        <bgColor indexed="64"/>
      </patternFill>
    </fill>
    <fill>
      <patternFill patternType="solid">
        <fgColor rgb="FFFF2B2B"/>
        <bgColor indexed="64"/>
      </patternFill>
    </fill>
    <fill>
      <patternFill patternType="solid">
        <fgColor rgb="FFFF2D2D"/>
        <bgColor indexed="64"/>
      </patternFill>
    </fill>
    <fill>
      <patternFill patternType="solid">
        <fgColor rgb="FFFF4F4F"/>
        <bgColor indexed="64"/>
      </patternFill>
    </fill>
    <fill>
      <patternFill patternType="solid">
        <fgColor rgb="FFC1C1FF"/>
        <bgColor indexed="64"/>
      </patternFill>
    </fill>
    <fill>
      <patternFill patternType="solid">
        <fgColor rgb="FFE4E4FF"/>
        <bgColor indexed="64"/>
      </patternFill>
    </fill>
    <fill>
      <patternFill patternType="solid">
        <fgColor rgb="FF7878FF"/>
        <bgColor indexed="64"/>
      </patternFill>
    </fill>
    <fill>
      <patternFill patternType="solid">
        <fgColor rgb="FF9A9AFF"/>
        <bgColor indexed="64"/>
      </patternFill>
    </fill>
    <fill>
      <patternFill patternType="solid">
        <fgColor rgb="FFFF3333"/>
        <bgColor indexed="64"/>
      </patternFill>
    </fill>
    <fill>
      <patternFill patternType="solid">
        <fgColor rgb="FFDCDCFF"/>
        <bgColor indexed="64"/>
      </patternFill>
    </fill>
    <fill>
      <patternFill patternType="solid">
        <fgColor rgb="FFD0D0FF"/>
        <bgColor indexed="64"/>
      </patternFill>
    </fill>
    <fill>
      <patternFill patternType="solid">
        <fgColor rgb="FF9797FF"/>
        <bgColor indexed="64"/>
      </patternFill>
    </fill>
    <fill>
      <patternFill patternType="solid">
        <fgColor rgb="FFCCCCFF"/>
        <bgColor indexed="64"/>
      </patternFill>
    </fill>
    <fill>
      <patternFill patternType="solid">
        <fgColor rgb="FFB0B0FF"/>
        <bgColor indexed="64"/>
      </patternFill>
    </fill>
    <fill>
      <patternFill patternType="solid">
        <fgColor rgb="FF8D8DFF"/>
        <bgColor indexed="64"/>
      </patternFill>
    </fill>
    <fill>
      <patternFill patternType="solid">
        <fgColor rgb="FFFF2C2C"/>
        <bgColor indexed="64"/>
      </patternFill>
    </fill>
    <fill>
      <patternFill patternType="solid">
        <fgColor rgb="FFFF2E2E"/>
        <bgColor indexed="64"/>
      </patternFill>
    </fill>
    <fill>
      <patternFill patternType="solid">
        <fgColor rgb="FFEFEFFF"/>
        <bgColor indexed="64"/>
      </patternFill>
    </fill>
    <fill>
      <patternFill patternType="solid">
        <fgColor rgb="FFEEEEFF"/>
        <bgColor indexed="64"/>
      </patternFill>
    </fill>
    <fill>
      <patternFill patternType="solid">
        <fgColor rgb="FF8282FF"/>
        <bgColor indexed="64"/>
      </patternFill>
    </fill>
    <fill>
      <patternFill patternType="solid">
        <fgColor rgb="FF9191FF"/>
        <bgColor indexed="64"/>
      </patternFill>
    </fill>
    <fill>
      <patternFill patternType="solid">
        <fgColor rgb="FFFF3838"/>
        <bgColor indexed="64"/>
      </patternFill>
    </fill>
    <fill>
      <patternFill patternType="solid">
        <fgColor rgb="FFFF2424"/>
        <bgColor indexed="64"/>
      </patternFill>
    </fill>
    <fill>
      <patternFill patternType="solid">
        <fgColor rgb="FFC7C7FF"/>
        <bgColor indexed="64"/>
      </patternFill>
    </fill>
    <fill>
      <patternFill patternType="solid">
        <fgColor rgb="FFFFECEC"/>
        <bgColor indexed="64"/>
      </patternFill>
    </fill>
    <fill>
      <patternFill patternType="solid">
        <fgColor rgb="FFADADFF"/>
        <bgColor indexed="64"/>
      </patternFill>
    </fill>
    <fill>
      <patternFill patternType="solid">
        <fgColor rgb="FF8787FF"/>
        <bgColor indexed="64"/>
      </patternFill>
    </fill>
    <fill>
      <patternFill patternType="solid">
        <fgColor rgb="FFFF3939"/>
        <bgColor indexed="64"/>
      </patternFill>
    </fill>
    <fill>
      <patternFill patternType="solid">
        <fgColor rgb="FFFF0303"/>
        <bgColor indexed="64"/>
      </patternFill>
    </fill>
    <fill>
      <patternFill patternType="solid">
        <fgColor rgb="FFFF6A6A"/>
        <bgColor indexed="64"/>
      </patternFill>
    </fill>
    <fill>
      <patternFill patternType="solid">
        <fgColor rgb="FFD5D5FF"/>
        <bgColor indexed="64"/>
      </patternFill>
    </fill>
    <fill>
      <patternFill patternType="solid">
        <fgColor rgb="FFFDFDFF"/>
        <bgColor indexed="64"/>
      </patternFill>
    </fill>
    <fill>
      <patternFill patternType="solid">
        <fgColor rgb="FFDADAFF"/>
        <bgColor indexed="64"/>
      </patternFill>
    </fill>
    <fill>
      <patternFill patternType="solid">
        <fgColor rgb="FFD9D9FF"/>
        <bgColor indexed="64"/>
      </patternFill>
    </fill>
    <fill>
      <patternFill patternType="solid">
        <fgColor rgb="FF6464FF"/>
        <bgColor indexed="64"/>
      </patternFill>
    </fill>
    <fill>
      <patternFill patternType="solid">
        <fgColor rgb="FFFF0C0C"/>
        <bgColor indexed="64"/>
      </patternFill>
    </fill>
    <fill>
      <patternFill patternType="solid">
        <fgColor rgb="FFFF2828"/>
        <bgColor indexed="64"/>
      </patternFill>
    </fill>
    <fill>
      <patternFill patternType="solid">
        <fgColor rgb="FFFF7676"/>
        <bgColor indexed="64"/>
      </patternFill>
    </fill>
    <fill>
      <patternFill patternType="solid">
        <fgColor rgb="FFA3A3FF"/>
        <bgColor indexed="64"/>
      </patternFill>
    </fill>
    <fill>
      <patternFill patternType="solid">
        <fgColor rgb="FFE6E6FF"/>
        <bgColor indexed="64"/>
      </patternFill>
    </fill>
    <fill>
      <patternFill patternType="solid">
        <fgColor rgb="FFAFAFFF"/>
        <bgColor indexed="64"/>
      </patternFill>
    </fill>
    <fill>
      <patternFill patternType="solid">
        <fgColor rgb="FF7676FF"/>
        <bgColor indexed="64"/>
      </patternFill>
    </fill>
    <fill>
      <patternFill patternType="solid">
        <fgColor rgb="FFFF8383"/>
        <bgColor indexed="64"/>
      </patternFill>
    </fill>
    <fill>
      <patternFill patternType="solid">
        <fgColor rgb="FFFF0F0F"/>
        <bgColor indexed="64"/>
      </patternFill>
    </fill>
    <fill>
      <patternFill patternType="solid">
        <fgColor rgb="FFB1B1FF"/>
        <bgColor indexed="64"/>
      </patternFill>
    </fill>
    <fill>
      <patternFill patternType="solid">
        <fgColor rgb="FFFF5151"/>
        <bgColor indexed="64"/>
      </patternFill>
    </fill>
    <fill>
      <patternFill patternType="solid">
        <fgColor rgb="FFFF0505"/>
        <bgColor indexed="64"/>
      </patternFill>
    </fill>
    <fill>
      <patternFill patternType="solid">
        <fgColor rgb="FFFFE8E8"/>
        <bgColor indexed="64"/>
      </patternFill>
    </fill>
    <fill>
      <patternFill patternType="solid">
        <fgColor rgb="FF6D6DFF"/>
        <bgColor indexed="64"/>
      </patternFill>
    </fill>
    <fill>
      <patternFill patternType="solid">
        <fgColor rgb="FF9595FF"/>
        <bgColor indexed="64"/>
      </patternFill>
    </fill>
    <fill>
      <patternFill patternType="solid">
        <fgColor rgb="FFFF4444"/>
        <bgColor indexed="64"/>
      </patternFill>
    </fill>
    <fill>
      <patternFill patternType="solid">
        <fgColor rgb="FFFF5252"/>
        <bgColor indexed="64"/>
      </patternFill>
    </fill>
    <fill>
      <patternFill patternType="solid">
        <fgColor rgb="FFFF1818"/>
        <bgColor indexed="64"/>
      </patternFill>
    </fill>
    <fill>
      <patternFill patternType="solid">
        <fgColor rgb="FFEAEAFF"/>
        <bgColor indexed="64"/>
      </patternFill>
    </fill>
    <fill>
      <patternFill patternType="solid">
        <fgColor rgb="FFFEFEFE"/>
        <bgColor indexed="64"/>
      </patternFill>
    </fill>
    <fill>
      <patternFill patternType="solid">
        <fgColor rgb="FFFF7878"/>
        <bgColor indexed="64"/>
      </patternFill>
    </fill>
    <fill>
      <patternFill patternType="solid">
        <fgColor rgb="FFFF0404"/>
        <bgColor indexed="64"/>
      </patternFill>
    </fill>
    <fill>
      <patternFill patternType="solid">
        <fgColor rgb="FFF5F5FF"/>
        <bgColor indexed="64"/>
      </patternFill>
    </fill>
    <fill>
      <patternFill patternType="solid">
        <fgColor rgb="FFFF5F5F"/>
        <bgColor indexed="64"/>
      </patternFill>
    </fill>
    <fill>
      <patternFill patternType="solid">
        <fgColor rgb="FF6868FF"/>
        <bgColor indexed="64"/>
      </patternFill>
    </fill>
    <fill>
      <patternFill patternType="solid">
        <fgColor rgb="FFEDEDFF"/>
        <bgColor indexed="64"/>
      </patternFill>
    </fill>
    <fill>
      <patternFill patternType="solid">
        <fgColor rgb="FFFF2626"/>
        <bgColor indexed="64"/>
      </patternFill>
    </fill>
    <fill>
      <patternFill patternType="solid">
        <fgColor rgb="FFFF5A5A"/>
        <bgColor indexed="64"/>
      </patternFill>
    </fill>
    <fill>
      <patternFill patternType="solid">
        <fgColor rgb="FFFF1C1C"/>
        <bgColor indexed="64"/>
      </patternFill>
    </fill>
    <fill>
      <patternFill patternType="solid">
        <fgColor rgb="FF7979FF"/>
        <bgColor indexed="64"/>
      </patternFill>
    </fill>
    <fill>
      <patternFill patternType="solid">
        <fgColor rgb="FF8585FF"/>
        <bgColor indexed="64"/>
      </patternFill>
    </fill>
    <fill>
      <patternFill patternType="solid">
        <fgColor rgb="FFB5B5FF"/>
        <bgColor indexed="64"/>
      </patternFill>
    </fill>
    <fill>
      <patternFill patternType="solid">
        <fgColor rgb="FFFF6969"/>
        <bgColor indexed="64"/>
      </patternFill>
    </fill>
    <fill>
      <patternFill patternType="solid">
        <fgColor rgb="FFFF4747"/>
        <bgColor indexed="64"/>
      </patternFill>
    </fill>
    <fill>
      <patternFill patternType="solid">
        <fgColor rgb="FFFFEFEF"/>
        <bgColor indexed="64"/>
      </patternFill>
    </fill>
    <fill>
      <patternFill patternType="solid">
        <fgColor rgb="FFFF4646"/>
        <bgColor indexed="64"/>
      </patternFill>
    </fill>
    <fill>
      <patternFill patternType="solid">
        <fgColor rgb="FFECECFF"/>
        <bgColor indexed="64"/>
      </patternFill>
    </fill>
    <fill>
      <patternFill patternType="solid">
        <fgColor rgb="FFFF2929"/>
        <bgColor indexed="64"/>
      </patternFill>
    </fill>
    <fill>
      <patternFill patternType="solid">
        <fgColor rgb="FFFF2121"/>
        <bgColor indexed="64"/>
      </patternFill>
    </fill>
    <fill>
      <patternFill patternType="solid">
        <fgColor rgb="FFDDDDFF"/>
        <bgColor indexed="64"/>
      </patternFill>
    </fill>
    <fill>
      <patternFill patternType="solid">
        <fgColor rgb="FFFF4949"/>
        <bgColor indexed="64"/>
      </patternFill>
    </fill>
    <fill>
      <patternFill patternType="solid">
        <fgColor rgb="FFF0F0FF"/>
        <bgColor indexed="64"/>
      </patternFill>
    </fill>
    <fill>
      <patternFill patternType="solid">
        <fgColor rgb="FFFF3636"/>
        <bgColor indexed="64"/>
      </patternFill>
    </fill>
    <fill>
      <patternFill patternType="solid">
        <fgColor rgb="FF9F9FFF"/>
        <bgColor indexed="64"/>
      </patternFill>
    </fill>
    <fill>
      <patternFill patternType="solid">
        <fgColor rgb="FF8E8EFF"/>
        <bgColor indexed="64"/>
      </patternFill>
    </fill>
    <fill>
      <patternFill patternType="solid">
        <fgColor rgb="FFFF3C3C"/>
        <bgColor indexed="64"/>
      </patternFill>
    </fill>
    <fill>
      <patternFill patternType="solid">
        <fgColor rgb="FFFFF2F2"/>
        <bgColor indexed="64"/>
      </patternFill>
    </fill>
    <fill>
      <patternFill patternType="solid">
        <fgColor rgb="FFD3D3FF"/>
        <bgColor indexed="64"/>
      </patternFill>
    </fill>
    <fill>
      <patternFill patternType="solid">
        <fgColor rgb="FF9494FF"/>
        <bgColor indexed="64"/>
      </patternFill>
    </fill>
    <fill>
      <patternFill patternType="solid">
        <fgColor rgb="FFFF1919"/>
        <bgColor indexed="64"/>
      </patternFill>
    </fill>
    <fill>
      <patternFill patternType="solid">
        <fgColor rgb="FFFF4343"/>
        <bgColor indexed="64"/>
      </patternFill>
    </fill>
    <fill>
      <patternFill patternType="solid">
        <fgColor rgb="FFE1E1FF"/>
        <bgColor indexed="64"/>
      </patternFill>
    </fill>
    <fill>
      <patternFill patternType="solid">
        <fgColor rgb="FFFF2525"/>
        <bgColor indexed="64"/>
      </patternFill>
    </fill>
    <fill>
      <patternFill patternType="solid">
        <fgColor rgb="FFD4D4FF"/>
        <bgColor indexed="64"/>
      </patternFill>
    </fill>
    <fill>
      <patternFill patternType="solid">
        <fgColor rgb="FFFFFBFB"/>
        <bgColor indexed="64"/>
      </patternFill>
    </fill>
    <fill>
      <patternFill patternType="solid">
        <fgColor rgb="FF7C7CFF"/>
        <bgColor indexed="64"/>
      </patternFill>
    </fill>
    <fill>
      <patternFill patternType="solid">
        <fgColor rgb="FFFF1B1B"/>
        <bgColor indexed="64"/>
      </patternFill>
    </fill>
    <fill>
      <patternFill patternType="solid">
        <fgColor rgb="FFFF3D3D"/>
        <bgColor indexed="64"/>
      </patternFill>
    </fill>
    <fill>
      <patternFill patternType="solid">
        <fgColor rgb="FFF7F7FF"/>
        <bgColor indexed="64"/>
      </patternFill>
    </fill>
    <fill>
      <patternFill patternType="solid">
        <fgColor rgb="FF6A6AFF"/>
        <bgColor indexed="64"/>
      </patternFill>
    </fill>
    <fill>
      <patternFill patternType="solid">
        <fgColor rgb="FF5252FF"/>
        <bgColor indexed="64"/>
      </patternFill>
    </fill>
    <fill>
      <patternFill patternType="solid">
        <fgColor rgb="FF6F6FFF"/>
        <bgColor indexed="64"/>
      </patternFill>
    </fill>
    <fill>
      <patternFill patternType="solid">
        <fgColor rgb="FFFF5555"/>
        <bgColor indexed="64"/>
      </patternFill>
    </fill>
    <fill>
      <patternFill patternType="solid">
        <fgColor rgb="FF5A5AFF"/>
        <bgColor indexed="64"/>
      </patternFill>
    </fill>
    <fill>
      <patternFill patternType="solid">
        <fgColor rgb="FF7B7BFF"/>
        <bgColor indexed="64"/>
      </patternFill>
    </fill>
    <fill>
      <patternFill patternType="solid">
        <fgColor rgb="FFFF3A3A"/>
        <bgColor indexed="64"/>
      </patternFill>
    </fill>
    <fill>
      <patternFill patternType="solid">
        <fgColor rgb="FFFF4141"/>
        <bgColor indexed="64"/>
      </patternFill>
    </fill>
    <fill>
      <patternFill patternType="solid">
        <fgColor rgb="FFFAFAFF"/>
        <bgColor indexed="64"/>
      </patternFill>
    </fill>
    <fill>
      <patternFill patternType="solid">
        <fgColor rgb="FFFFEEEE"/>
        <bgColor indexed="64"/>
      </patternFill>
    </fill>
    <fill>
      <patternFill patternType="solid">
        <fgColor rgb="FF4141FF"/>
        <bgColor indexed="64"/>
      </patternFill>
    </fill>
    <fill>
      <patternFill patternType="solid">
        <fgColor rgb="FF8888FF"/>
        <bgColor indexed="64"/>
      </patternFill>
    </fill>
    <fill>
      <patternFill patternType="solid">
        <fgColor rgb="FFFF3F3F"/>
        <bgColor indexed="64"/>
      </patternFill>
    </fill>
    <fill>
      <patternFill patternType="solid">
        <fgColor rgb="FFFF4B4B"/>
        <bgColor indexed="64"/>
      </patternFill>
    </fill>
    <fill>
      <patternFill patternType="solid">
        <fgColor rgb="FFE9E9FF"/>
        <bgColor indexed="64"/>
      </patternFill>
    </fill>
    <fill>
      <patternFill patternType="solid">
        <fgColor rgb="FF7474FF"/>
        <bgColor indexed="64"/>
      </patternFill>
    </fill>
    <fill>
      <patternFill patternType="solid">
        <fgColor rgb="FF7575FF"/>
        <bgColor indexed="64"/>
      </patternFill>
    </fill>
    <fill>
      <patternFill patternType="solid">
        <fgColor rgb="FFE7E7FF"/>
        <bgColor indexed="64"/>
      </patternFill>
    </fill>
    <fill>
      <patternFill patternType="solid">
        <fgColor rgb="FF5858FF"/>
        <bgColor indexed="64"/>
      </patternFill>
    </fill>
    <fill>
      <patternFill patternType="solid">
        <fgColor rgb="FFFF8989"/>
        <bgColor indexed="64"/>
      </patternFill>
    </fill>
    <fill>
      <patternFill patternType="solid">
        <fgColor rgb="FFFFE2E2"/>
        <bgColor indexed="64"/>
      </patternFill>
    </fill>
    <fill>
      <patternFill patternType="solid">
        <fgColor rgb="FFF8F8FF"/>
        <bgColor indexed="64"/>
      </patternFill>
    </fill>
    <fill>
      <patternFill patternType="solid">
        <fgColor rgb="FF6060FF"/>
        <bgColor indexed="64"/>
      </patternFill>
    </fill>
    <fill>
      <patternFill patternType="solid">
        <fgColor rgb="FF8484FF"/>
        <bgColor indexed="64"/>
      </patternFill>
    </fill>
    <fill>
      <patternFill patternType="solid">
        <fgColor rgb="FFFF4040"/>
        <bgColor indexed="64"/>
      </patternFill>
    </fill>
    <fill>
      <patternFill patternType="solid">
        <fgColor rgb="FFFFF0F0"/>
        <bgColor indexed="64"/>
      </patternFill>
    </fill>
    <fill>
      <patternFill patternType="solid">
        <fgColor rgb="FF7A7AFF"/>
        <bgColor indexed="64"/>
      </patternFill>
    </fill>
    <fill>
      <patternFill patternType="solid">
        <fgColor rgb="FF8A8AFF"/>
        <bgColor indexed="64"/>
      </patternFill>
    </fill>
    <fill>
      <patternFill patternType="solid">
        <fgColor rgb="FFFFF9F9"/>
        <bgColor indexed="64"/>
      </patternFill>
    </fill>
    <fill>
      <patternFill patternType="solid">
        <fgColor rgb="FF9090FF"/>
        <bgColor indexed="64"/>
      </patternFill>
    </fill>
    <fill>
      <patternFill patternType="solid">
        <fgColor rgb="FFFF3131"/>
        <bgColor indexed="64"/>
      </patternFill>
    </fill>
    <fill>
      <patternFill patternType="solid">
        <fgColor rgb="FFFF6161"/>
        <bgColor indexed="64"/>
      </patternFill>
    </fill>
    <fill>
      <patternFill patternType="solid">
        <fgColor rgb="FFF3F3FF"/>
        <bgColor indexed="64"/>
      </patternFill>
    </fill>
    <fill>
      <patternFill patternType="solid">
        <fgColor rgb="FF4A4AFF"/>
        <bgColor indexed="64"/>
      </patternFill>
    </fill>
    <fill>
      <patternFill patternType="solid">
        <fgColor rgb="FFFF6565"/>
        <bgColor indexed="64"/>
      </patternFill>
    </fill>
    <fill>
      <patternFill patternType="solid">
        <fgColor rgb="FFFF1313"/>
        <bgColor indexed="64"/>
      </patternFill>
    </fill>
    <fill>
      <patternFill patternType="solid">
        <fgColor rgb="FFFFB8B8"/>
        <bgColor indexed="64"/>
      </patternFill>
    </fill>
    <fill>
      <patternFill patternType="solid">
        <fgColor rgb="FFF9F9FF"/>
        <bgColor indexed="64"/>
      </patternFill>
    </fill>
    <fill>
      <patternFill patternType="solid">
        <fgColor rgb="FF8B8BFF"/>
        <bgColor indexed="64"/>
      </patternFill>
    </fill>
    <fill>
      <patternFill patternType="solid">
        <fgColor rgb="FFFFE9E9"/>
        <bgColor indexed="64"/>
      </patternFill>
    </fill>
    <fill>
      <patternFill patternType="solid">
        <fgColor rgb="FF8080FF"/>
        <bgColor indexed="64"/>
      </patternFill>
    </fill>
    <fill>
      <patternFill patternType="solid">
        <fgColor rgb="FFFFBCBC"/>
        <bgColor indexed="64"/>
      </patternFill>
    </fill>
    <fill>
      <patternFill patternType="solid">
        <fgColor rgb="FF6262FF"/>
        <bgColor indexed="64"/>
      </patternFill>
    </fill>
    <fill>
      <patternFill patternType="solid">
        <fgColor rgb="FF6767FF"/>
        <bgColor indexed="64"/>
      </patternFill>
    </fill>
    <fill>
      <patternFill patternType="solid">
        <fgColor rgb="FFFF5959"/>
        <bgColor indexed="64"/>
      </patternFill>
    </fill>
    <fill>
      <patternFill patternType="solid">
        <fgColor rgb="FFFFDDDD"/>
        <bgColor indexed="64"/>
      </patternFill>
    </fill>
    <fill>
      <patternFill patternType="solid">
        <fgColor rgb="FFFF1212"/>
        <bgColor indexed="64"/>
      </patternFill>
    </fill>
    <fill>
      <patternFill patternType="solid">
        <fgColor rgb="FF6666FF"/>
        <bgColor indexed="64"/>
      </patternFill>
    </fill>
    <fill>
      <patternFill patternType="solid">
        <fgColor rgb="FFFF6767"/>
        <bgColor indexed="64"/>
      </patternFill>
    </fill>
    <fill>
      <patternFill patternType="solid">
        <fgColor rgb="FFFFE3E3"/>
        <bgColor indexed="64"/>
      </patternFill>
    </fill>
    <fill>
      <patternFill patternType="solid">
        <fgColor rgb="FF5D5DFF"/>
        <bgColor indexed="64"/>
      </patternFill>
    </fill>
    <fill>
      <patternFill patternType="solid">
        <fgColor rgb="FFFF7D7D"/>
        <bgColor indexed="64"/>
      </patternFill>
    </fill>
    <fill>
      <patternFill patternType="solid">
        <fgColor rgb="FFE5E5FF"/>
        <bgColor indexed="64"/>
      </patternFill>
    </fill>
    <fill>
      <patternFill patternType="solid">
        <fgColor rgb="FF3737FF"/>
        <bgColor indexed="64"/>
      </patternFill>
    </fill>
    <fill>
      <patternFill patternType="solid">
        <fgColor rgb="FFFF4545"/>
        <bgColor indexed="64"/>
      </patternFill>
    </fill>
    <fill>
      <patternFill patternType="solid">
        <fgColor rgb="FF4D4DFF"/>
        <bgColor indexed="64"/>
      </patternFill>
    </fill>
    <fill>
      <patternFill patternType="solid">
        <fgColor rgb="FFF1F1FF"/>
        <bgColor indexed="64"/>
      </patternFill>
    </fill>
    <fill>
      <patternFill patternType="solid">
        <fgColor rgb="FFFF3434"/>
        <bgColor indexed="64"/>
      </patternFill>
    </fill>
    <fill>
      <patternFill patternType="solid">
        <fgColor rgb="FFFF6C6C"/>
        <bgColor indexed="64"/>
      </patternFill>
    </fill>
    <fill>
      <patternFill patternType="solid">
        <fgColor rgb="FFFFF7F7"/>
        <bgColor indexed="64"/>
      </patternFill>
    </fill>
    <fill>
      <patternFill patternType="solid">
        <fgColor rgb="FF6E6EFF"/>
        <bgColor indexed="64"/>
      </patternFill>
    </fill>
    <fill>
      <patternFill patternType="solid">
        <fgColor rgb="FFFF5B5B"/>
        <bgColor indexed="64"/>
      </patternFill>
    </fill>
    <fill>
      <patternFill patternType="solid">
        <fgColor rgb="FF5656FF"/>
        <bgColor indexed="64"/>
      </patternFill>
    </fill>
    <fill>
      <patternFill patternType="solid">
        <fgColor rgb="FFA4A4FF"/>
        <bgColor indexed="64"/>
      </patternFill>
    </fill>
    <fill>
      <patternFill patternType="solid">
        <fgColor rgb="FFFF5454"/>
        <bgColor indexed="64"/>
      </patternFill>
    </fill>
    <fill>
      <patternFill patternType="solid">
        <fgColor rgb="FFFFC7C7"/>
        <bgColor indexed="64"/>
      </patternFill>
    </fill>
    <fill>
      <patternFill patternType="solid">
        <fgColor rgb="FFFFC0C0"/>
        <bgColor indexed="64"/>
      </patternFill>
    </fill>
    <fill>
      <patternFill patternType="solid">
        <fgColor rgb="FFFFAFAF"/>
        <bgColor indexed="64"/>
      </patternFill>
    </fill>
    <fill>
      <patternFill patternType="solid">
        <fgColor rgb="FF4545FF"/>
        <bgColor indexed="64"/>
      </patternFill>
    </fill>
    <fill>
      <patternFill patternType="solid">
        <fgColor rgb="FFFF4E4E"/>
        <bgColor indexed="64"/>
      </patternFill>
    </fill>
    <fill>
      <patternFill patternType="solid">
        <fgColor rgb="FFFF5757"/>
        <bgColor indexed="64"/>
      </patternFill>
    </fill>
    <fill>
      <patternFill patternType="solid">
        <fgColor rgb="FFFFD0D0"/>
        <bgColor indexed="64"/>
      </patternFill>
    </fill>
    <fill>
      <patternFill patternType="solid">
        <fgColor rgb="FFFFD4D4"/>
        <bgColor indexed="64"/>
      </patternFill>
    </fill>
    <fill>
      <patternFill patternType="solid">
        <fgColor rgb="FFFFDADA"/>
        <bgColor indexed="64"/>
      </patternFill>
    </fill>
    <fill>
      <patternFill patternType="solid">
        <fgColor rgb="FF6363FF"/>
        <bgColor indexed="64"/>
      </patternFill>
    </fill>
    <fill>
      <patternFill patternType="solid">
        <fgColor rgb="FF5454FF"/>
        <bgColor indexed="64"/>
      </patternFill>
    </fill>
    <fill>
      <patternFill patternType="solid">
        <fgColor rgb="FFFFCCCC"/>
        <bgColor indexed="64"/>
      </patternFill>
    </fill>
    <fill>
      <patternFill patternType="solid">
        <fgColor rgb="FFFFCECE"/>
        <bgColor indexed="64"/>
      </patternFill>
    </fill>
    <fill>
      <patternFill patternType="solid">
        <fgColor rgb="FF6565FF"/>
        <bgColor indexed="64"/>
      </patternFill>
    </fill>
    <fill>
      <patternFill patternType="solid">
        <fgColor rgb="FF5555FF"/>
        <bgColor indexed="64"/>
      </patternFill>
    </fill>
    <fill>
      <patternFill patternType="solid">
        <fgColor rgb="FF8686FF"/>
        <bgColor indexed="64"/>
      </patternFill>
    </fill>
    <fill>
      <patternFill patternType="solid">
        <fgColor rgb="FFFF6262"/>
        <bgColor indexed="64"/>
      </patternFill>
    </fill>
    <fill>
      <patternFill patternType="solid">
        <fgColor rgb="FFFFCDCD"/>
        <bgColor indexed="64"/>
      </patternFill>
    </fill>
    <fill>
      <patternFill patternType="solid">
        <fgColor rgb="FFFFA3A3"/>
        <bgColor indexed="64"/>
      </patternFill>
    </fill>
    <fill>
      <patternFill patternType="solid">
        <fgColor rgb="FFFFB6B6"/>
        <bgColor indexed="64"/>
      </patternFill>
    </fill>
    <fill>
      <patternFill patternType="solid">
        <fgColor rgb="FF4747FF"/>
        <bgColor indexed="64"/>
      </patternFill>
    </fill>
    <fill>
      <patternFill patternType="solid">
        <fgColor rgb="FFFF6868"/>
        <bgColor indexed="64"/>
      </patternFill>
    </fill>
    <fill>
      <patternFill patternType="solid">
        <fgColor rgb="FFFF6D6D"/>
        <bgColor indexed="64"/>
      </patternFill>
    </fill>
    <fill>
      <patternFill patternType="solid">
        <fgColor rgb="FFFFAAAA"/>
        <bgColor indexed="64"/>
      </patternFill>
    </fill>
    <fill>
      <patternFill patternType="solid">
        <fgColor rgb="FF8181FF"/>
        <bgColor indexed="64"/>
      </patternFill>
    </fill>
    <fill>
      <patternFill patternType="solid">
        <fgColor rgb="FFFFFDFD"/>
        <bgColor indexed="64"/>
      </patternFill>
    </fill>
    <fill>
      <patternFill patternType="solid">
        <fgColor rgb="FFFF2727"/>
        <bgColor indexed="64"/>
      </patternFill>
    </fill>
    <fill>
      <patternFill patternType="solid">
        <fgColor rgb="FFFFE4E4"/>
        <bgColor indexed="64"/>
      </patternFill>
    </fill>
    <fill>
      <patternFill patternType="solid">
        <fgColor rgb="FFFFF3F3"/>
        <bgColor indexed="64"/>
      </patternFill>
    </fill>
    <fill>
      <patternFill patternType="solid">
        <fgColor rgb="FF9393FF"/>
        <bgColor indexed="64"/>
      </patternFill>
    </fill>
    <fill>
      <patternFill patternType="solid">
        <fgColor rgb="FFC4C4FF"/>
        <bgColor indexed="64"/>
      </patternFill>
    </fill>
    <fill>
      <patternFill patternType="solid">
        <fgColor rgb="FF5E5EFF"/>
        <bgColor indexed="64"/>
      </patternFill>
    </fill>
    <fill>
      <patternFill patternType="solid">
        <fgColor rgb="FFFFD9D9"/>
        <bgColor indexed="64"/>
      </patternFill>
    </fill>
    <fill>
      <patternFill patternType="solid">
        <fgColor rgb="FFFFEBEB"/>
        <bgColor indexed="64"/>
      </patternFill>
    </fill>
    <fill>
      <patternFill patternType="solid">
        <fgColor rgb="FF3C3CFF"/>
        <bgColor indexed="64"/>
      </patternFill>
    </fill>
    <fill>
      <patternFill patternType="solid">
        <fgColor rgb="FFFFFAFA"/>
        <bgColor indexed="64"/>
      </patternFill>
    </fill>
    <fill>
      <patternFill patternType="solid">
        <fgColor rgb="FF9999FF"/>
        <bgColor indexed="64"/>
      </patternFill>
    </fill>
    <fill>
      <patternFill patternType="solid">
        <fgColor rgb="FF7F7FFF"/>
        <bgColor indexed="64"/>
      </patternFill>
    </fill>
    <fill>
      <patternFill patternType="solid">
        <fgColor rgb="FFFF5C5C"/>
        <bgColor indexed="64"/>
      </patternFill>
    </fill>
    <fill>
      <patternFill patternType="solid">
        <fgColor rgb="FFFFE1E1"/>
        <bgColor indexed="64"/>
      </patternFill>
    </fill>
    <fill>
      <patternFill patternType="solid">
        <fgColor rgb="FFFFBFBF"/>
        <bgColor indexed="64"/>
      </patternFill>
    </fill>
    <fill>
      <patternFill patternType="solid">
        <fgColor rgb="FFFF4A4A"/>
        <bgColor indexed="64"/>
      </patternFill>
    </fill>
    <fill>
      <patternFill patternType="solid">
        <fgColor rgb="FFFFC4C4"/>
        <bgColor indexed="64"/>
      </patternFill>
    </fill>
    <fill>
      <patternFill patternType="solid">
        <fgColor rgb="FFFF1A1A"/>
        <bgColor indexed="64"/>
      </patternFill>
    </fill>
    <fill>
      <patternFill patternType="solid">
        <fgColor rgb="FFFFDEDE"/>
        <bgColor indexed="64"/>
      </patternFill>
    </fill>
    <fill>
      <patternFill patternType="solid">
        <fgColor rgb="FFFFC9C9"/>
        <bgColor indexed="64"/>
      </patternFill>
    </fill>
    <fill>
      <patternFill patternType="solid">
        <fgColor rgb="FF7E7EFF"/>
        <bgColor indexed="64"/>
      </patternFill>
    </fill>
    <fill>
      <patternFill patternType="solid">
        <fgColor rgb="FFFF8181"/>
        <bgColor indexed="64"/>
      </patternFill>
    </fill>
    <fill>
      <patternFill patternType="solid">
        <fgColor rgb="FFFFC5C5"/>
        <bgColor indexed="64"/>
      </patternFill>
    </fill>
    <fill>
      <patternFill patternType="solid">
        <fgColor rgb="FFFFCBCB"/>
        <bgColor indexed="64"/>
      </patternFill>
    </fill>
    <fill>
      <patternFill patternType="solid">
        <fgColor rgb="FFFFC1C1"/>
        <bgColor indexed="64"/>
      </patternFill>
    </fill>
    <fill>
      <patternFill patternType="solid">
        <fgColor rgb="FFFFC8C8"/>
        <bgColor indexed="64"/>
      </patternFill>
    </fill>
    <fill>
      <patternFill patternType="solid">
        <fgColor rgb="FF7373FF"/>
        <bgColor indexed="64"/>
      </patternFill>
    </fill>
    <fill>
      <patternFill patternType="solid">
        <fgColor rgb="FFFF0D0D"/>
        <bgColor indexed="64"/>
      </patternFill>
    </fill>
    <fill>
      <patternFill patternType="solid">
        <fgColor rgb="FFFF2A2A"/>
        <bgColor indexed="64"/>
      </patternFill>
    </fill>
    <fill>
      <patternFill patternType="solid">
        <fgColor rgb="FFFFFCFC"/>
        <bgColor indexed="64"/>
      </patternFill>
    </fill>
    <fill>
      <patternFill patternType="solid">
        <fgColor rgb="FFFF4242"/>
        <bgColor indexed="64"/>
      </patternFill>
    </fill>
    <fill>
      <patternFill patternType="solid">
        <fgColor rgb="FFFFE7E7"/>
        <bgColor indexed="64"/>
      </patternFill>
    </fill>
    <fill>
      <patternFill patternType="solid">
        <fgColor rgb="FFFFF6F6"/>
        <bgColor indexed="64"/>
      </patternFill>
    </fill>
    <fill>
      <patternFill patternType="solid">
        <fgColor rgb="FFFF9696"/>
        <bgColor indexed="64"/>
      </patternFill>
    </fill>
    <fill>
      <patternFill patternType="solid">
        <fgColor rgb="FFFF1515"/>
        <bgColor indexed="64"/>
      </patternFill>
    </fill>
    <fill>
      <patternFill patternType="solid">
        <fgColor rgb="FFFFABAB"/>
        <bgColor indexed="64"/>
      </patternFill>
    </fill>
    <fill>
      <patternFill patternType="solid">
        <fgColor rgb="FF4C4CFF"/>
        <bgColor indexed="64"/>
      </patternFill>
    </fill>
    <fill>
      <patternFill patternType="solid">
        <fgColor rgb="FF3D3DFF"/>
        <bgColor indexed="64"/>
      </patternFill>
    </fill>
    <fill>
      <patternFill patternType="solid">
        <fgColor rgb="FFFFD1D1"/>
        <bgColor indexed="64"/>
      </patternFill>
    </fill>
    <fill>
      <patternFill patternType="solid">
        <fgColor rgb="FFFFA2A2"/>
        <bgColor indexed="64"/>
      </patternFill>
    </fill>
    <fill>
      <patternFill patternType="solid">
        <fgColor rgb="FFFFE0E0"/>
        <bgColor indexed="64"/>
      </patternFill>
    </fill>
    <fill>
      <patternFill patternType="solid">
        <fgColor rgb="FF5050FF"/>
        <bgColor indexed="64"/>
      </patternFill>
    </fill>
    <fill>
      <patternFill patternType="solid">
        <fgColor rgb="FF3F3FFF"/>
        <bgColor indexed="64"/>
      </patternFill>
    </fill>
    <fill>
      <patternFill patternType="solid">
        <fgColor rgb="FFFFE5E5"/>
        <bgColor indexed="64"/>
      </patternFill>
    </fill>
    <fill>
      <patternFill patternType="solid">
        <fgColor rgb="FFEBEBFF"/>
        <bgColor indexed="64"/>
      </patternFill>
    </fill>
    <fill>
      <patternFill patternType="solid">
        <fgColor rgb="FFFF7171"/>
        <bgColor indexed="64"/>
      </patternFill>
    </fill>
    <fill>
      <patternFill patternType="solid">
        <fgColor rgb="FFFF8C8C"/>
        <bgColor indexed="64"/>
      </patternFill>
    </fill>
    <fill>
      <patternFill patternType="solid">
        <fgColor rgb="FFFFBBBB"/>
        <bgColor indexed="64"/>
      </patternFill>
    </fill>
    <fill>
      <patternFill patternType="solid">
        <fgColor rgb="FF4E4EFF"/>
        <bgColor indexed="64"/>
      </patternFill>
    </fill>
    <fill>
      <patternFill patternType="solid">
        <fgColor rgb="FF7272FF"/>
        <bgColor indexed="64"/>
      </patternFill>
    </fill>
    <fill>
      <patternFill patternType="solid">
        <fgColor rgb="FFFFEDED"/>
        <bgColor indexed="64"/>
      </patternFill>
    </fill>
    <fill>
      <patternFill patternType="solid">
        <fgColor rgb="FFFFD5D5"/>
        <bgColor indexed="64"/>
      </patternFill>
    </fill>
    <fill>
      <patternFill patternType="solid">
        <fgColor rgb="FFE3E3FF"/>
        <bgColor indexed="64"/>
      </patternFill>
    </fill>
    <fill>
      <patternFill patternType="solid">
        <fgColor rgb="FF5F5FFF"/>
        <bgColor indexed="64"/>
      </patternFill>
    </fill>
    <fill>
      <patternFill patternType="solid">
        <fgColor rgb="FFFF7E7E"/>
        <bgColor indexed="64"/>
      </patternFill>
    </fill>
    <fill>
      <patternFill patternType="solid">
        <fgColor rgb="FFFFADAD"/>
        <bgColor indexed="64"/>
      </patternFill>
    </fill>
    <fill>
      <patternFill patternType="solid">
        <fgColor rgb="FFFF8686"/>
        <bgColor indexed="64"/>
      </patternFill>
    </fill>
    <fill>
      <patternFill patternType="solid">
        <fgColor rgb="FFFF7070"/>
        <bgColor indexed="64"/>
      </patternFill>
    </fill>
    <fill>
      <patternFill patternType="solid">
        <fgColor rgb="FFFF9B9B"/>
        <bgColor indexed="64"/>
      </patternFill>
    </fill>
    <fill>
      <patternFill patternType="solid">
        <fgColor rgb="FFFF8080"/>
        <bgColor indexed="64"/>
      </patternFill>
    </fill>
    <fill>
      <patternFill patternType="solid">
        <fgColor rgb="FF5B5BFF"/>
        <bgColor indexed="64"/>
      </patternFill>
    </fill>
    <fill>
      <patternFill patternType="solid">
        <fgColor rgb="FFFF9F9F"/>
        <bgColor indexed="64"/>
      </patternFill>
    </fill>
    <fill>
      <patternFill patternType="solid">
        <fgColor rgb="FFFF8484"/>
        <bgColor indexed="64"/>
      </patternFill>
    </fill>
    <fill>
      <patternFill patternType="solid">
        <fgColor rgb="FFFFB2B2"/>
        <bgColor indexed="64"/>
      </patternFill>
    </fill>
    <fill>
      <patternFill patternType="solid">
        <fgColor rgb="FFFFEAEA"/>
        <bgColor indexed="64"/>
      </patternFill>
    </fill>
    <fill>
      <patternFill patternType="solid">
        <fgColor rgb="FFFF4848"/>
        <bgColor indexed="64"/>
      </patternFill>
    </fill>
    <fill>
      <patternFill patternType="solid">
        <fgColor rgb="FFFF7373"/>
        <bgColor indexed="64"/>
      </patternFill>
    </fill>
    <fill>
      <patternFill patternType="solid">
        <fgColor rgb="FFFF6666"/>
        <bgColor indexed="64"/>
      </patternFill>
    </fill>
    <fill>
      <patternFill patternType="solid">
        <fgColor rgb="FFFF8D8D"/>
        <bgColor indexed="64"/>
      </patternFill>
    </fill>
    <fill>
      <patternFill patternType="solid">
        <fgColor rgb="FFFF6F6F"/>
        <bgColor indexed="64"/>
      </patternFill>
    </fill>
    <fill>
      <patternFill patternType="solid">
        <fgColor rgb="FFFF5858"/>
        <bgColor indexed="64"/>
      </patternFill>
    </fill>
    <fill>
      <patternFill patternType="solid">
        <fgColor rgb="FFFFC6C6"/>
        <bgColor indexed="64"/>
      </patternFill>
    </fill>
    <fill>
      <patternFill patternType="solid">
        <fgColor rgb="FFFFC2C2"/>
        <bgColor indexed="64"/>
      </patternFill>
    </fill>
    <fill>
      <patternFill patternType="solid">
        <fgColor rgb="FFFF9191"/>
        <bgColor indexed="64"/>
      </patternFill>
    </fill>
    <fill>
      <patternFill patternType="solid">
        <fgColor rgb="FFFF8B8B"/>
        <bgColor indexed="64"/>
      </patternFill>
    </fill>
    <fill>
      <patternFill patternType="solid">
        <fgColor rgb="FFFFBEBE"/>
        <bgColor indexed="64"/>
      </patternFill>
    </fill>
    <fill>
      <patternFill patternType="solid">
        <fgColor rgb="FFFFBABA"/>
        <bgColor indexed="64"/>
      </patternFill>
    </fill>
    <fill>
      <patternFill patternType="solid">
        <fgColor rgb="FF0B0BFF"/>
        <bgColor indexed="64"/>
      </patternFill>
    </fill>
    <fill>
      <patternFill patternType="solid">
        <fgColor rgb="FFFF8282"/>
        <bgColor indexed="64"/>
      </patternFill>
    </fill>
    <fill>
      <patternFill patternType="solid">
        <fgColor rgb="FFFF9999"/>
        <bgColor indexed="64"/>
      </patternFill>
    </fill>
    <fill>
      <patternFill patternType="solid">
        <fgColor rgb="FFFF9393"/>
        <bgColor indexed="64"/>
      </patternFill>
    </fill>
    <fill>
      <patternFill patternType="solid">
        <fgColor rgb="FF1E1EFF"/>
        <bgColor indexed="64"/>
      </patternFill>
    </fill>
    <fill>
      <patternFill patternType="solid">
        <fgColor rgb="FFFF9D9D"/>
        <bgColor indexed="64"/>
      </patternFill>
    </fill>
    <fill>
      <patternFill patternType="solid">
        <fgColor rgb="FF4242FF"/>
        <bgColor indexed="64"/>
      </patternFill>
    </fill>
    <fill>
      <patternFill patternType="solid">
        <fgColor rgb="FF5353FF"/>
        <bgColor indexed="64"/>
      </patternFill>
    </fill>
    <fill>
      <patternFill patternType="solid">
        <fgColor rgb="FF3838FF"/>
        <bgColor indexed="64"/>
      </patternFill>
    </fill>
    <fill>
      <patternFill patternType="solid">
        <fgColor rgb="FFFF7C7C"/>
        <bgColor indexed="64"/>
      </patternFill>
    </fill>
    <fill>
      <patternFill patternType="solid">
        <fgColor rgb="FFFFB1B1"/>
        <bgColor indexed="64"/>
      </patternFill>
    </fill>
    <fill>
      <patternFill patternType="solid">
        <fgColor rgb="FF6B6BFF"/>
        <bgColor indexed="64"/>
      </patternFill>
    </fill>
    <fill>
      <patternFill patternType="solid">
        <fgColor rgb="FF2A2AFF"/>
        <bgColor indexed="64"/>
      </patternFill>
    </fill>
    <fill>
      <patternFill patternType="solid">
        <fgColor rgb="FF4444FF"/>
        <bgColor indexed="64"/>
      </patternFill>
    </fill>
    <fill>
      <patternFill patternType="solid">
        <fgColor rgb="FF0707FF"/>
        <bgColor indexed="64"/>
      </patternFill>
    </fill>
    <fill>
      <patternFill patternType="solid">
        <fgColor rgb="FFFFB0B0"/>
        <bgColor indexed="64"/>
      </patternFill>
    </fill>
    <fill>
      <patternFill patternType="solid">
        <fgColor rgb="FFFF7272"/>
        <bgColor indexed="64"/>
      </patternFill>
    </fill>
    <fill>
      <patternFill patternType="solid">
        <fgColor rgb="FFFF9292"/>
        <bgColor indexed="64"/>
      </patternFill>
    </fill>
    <fill>
      <patternFill patternType="solid">
        <fgColor rgb="FFFFB3B3"/>
        <bgColor indexed="64"/>
      </patternFill>
    </fill>
    <fill>
      <patternFill patternType="solid">
        <fgColor rgb="FF0E0EFF"/>
        <bgColor indexed="64"/>
      </patternFill>
    </fill>
    <fill>
      <patternFill patternType="solid">
        <fgColor rgb="FFFF8585"/>
        <bgColor indexed="64"/>
      </patternFill>
    </fill>
    <fill>
      <patternFill patternType="solid">
        <fgColor rgb="FF2C2CFF"/>
        <bgColor indexed="64"/>
      </patternFill>
    </fill>
    <fill>
      <patternFill patternType="solid">
        <fgColor rgb="FF2323FF"/>
        <bgColor indexed="64"/>
      </patternFill>
    </fill>
    <fill>
      <patternFill patternType="solid">
        <fgColor rgb="FFFFD2D2"/>
        <bgColor indexed="64"/>
      </patternFill>
    </fill>
    <fill>
      <patternFill patternType="solid">
        <fgColor rgb="FFFF8F8F"/>
        <bgColor indexed="64"/>
      </patternFill>
    </fill>
    <fill>
      <patternFill patternType="solid">
        <fgColor rgb="FFFF9C9C"/>
        <bgColor indexed="64"/>
      </patternFill>
    </fill>
    <fill>
      <patternFill patternType="solid">
        <fgColor rgb="FF0909FF"/>
        <bgColor indexed="64"/>
      </patternFill>
    </fill>
    <fill>
      <patternFill patternType="solid">
        <fgColor rgb="FF5C5CFF"/>
        <bgColor indexed="64"/>
      </patternFill>
    </fill>
    <fill>
      <patternFill patternType="solid">
        <fgColor rgb="FFFFA0A0"/>
        <bgColor indexed="64"/>
      </patternFill>
    </fill>
    <fill>
      <patternFill patternType="solid">
        <fgColor rgb="FF3535FF"/>
        <bgColor indexed="64"/>
      </patternFill>
    </fill>
    <fill>
      <patternFill patternType="solid">
        <fgColor rgb="FFFFD7D7"/>
        <bgColor indexed="64"/>
      </patternFill>
    </fill>
    <fill>
      <patternFill patternType="solid">
        <fgColor rgb="FF5757FF"/>
        <bgColor indexed="64"/>
      </patternFill>
    </fill>
    <fill>
      <patternFill patternType="solid">
        <fgColor rgb="FF1A1AFF"/>
        <bgColor indexed="64"/>
      </patternFill>
    </fill>
    <fill>
      <patternFill patternType="solid">
        <fgColor rgb="FF2020FF"/>
        <bgColor indexed="64"/>
      </patternFill>
    </fill>
    <fill>
      <patternFill patternType="solid">
        <fgColor rgb="FFFF8A8A"/>
        <bgColor indexed="64"/>
      </patternFill>
    </fill>
    <fill>
      <patternFill patternType="solid">
        <fgColor rgb="FFFF9494"/>
        <bgColor indexed="64"/>
      </patternFill>
    </fill>
    <fill>
      <patternFill patternType="solid">
        <fgColor rgb="FFFF9595"/>
        <bgColor indexed="64"/>
      </patternFill>
    </fill>
    <fill>
      <patternFill patternType="solid">
        <fgColor rgb="FF1F1FFF"/>
        <bgColor indexed="64"/>
      </patternFill>
    </fill>
    <fill>
      <patternFill patternType="solid">
        <fgColor rgb="FF3E3EFF"/>
        <bgColor indexed="64"/>
      </patternFill>
    </fill>
    <fill>
      <patternFill patternType="solid">
        <fgColor rgb="FFFFA8A8"/>
        <bgColor indexed="64"/>
      </patternFill>
    </fill>
    <fill>
      <patternFill patternType="solid">
        <fgColor rgb="FFFFA1A1"/>
        <bgColor indexed="64"/>
      </patternFill>
    </fill>
    <fill>
      <patternFill patternType="solid">
        <fgColor rgb="FFFFB5B5"/>
        <bgColor indexed="64"/>
      </patternFill>
    </fill>
    <fill>
      <patternFill patternType="solid">
        <fgColor rgb="FFFF8E8E"/>
        <bgColor indexed="64"/>
      </patternFill>
    </fill>
    <fill>
      <patternFill patternType="solid">
        <fgColor rgb="FFFFDBDB"/>
        <bgColor indexed="64"/>
      </patternFill>
    </fill>
    <fill>
      <patternFill patternType="solid">
        <fgColor rgb="FFFFC3C3"/>
        <bgColor indexed="64"/>
      </patternFill>
    </fill>
    <fill>
      <patternFill patternType="solid">
        <fgColor rgb="FF4B4BFF"/>
        <bgColor indexed="64"/>
      </patternFill>
    </fill>
    <fill>
      <patternFill patternType="solid">
        <fgColor rgb="FF2F2FFF"/>
        <bgColor indexed="64"/>
      </patternFill>
    </fill>
    <fill>
      <patternFill patternType="solid">
        <fgColor rgb="FFFFCFCF"/>
        <bgColor indexed="64"/>
      </patternFill>
    </fill>
    <fill>
      <patternFill patternType="solid">
        <fgColor rgb="FFFFD3D3"/>
        <bgColor indexed="64"/>
      </patternFill>
    </fill>
    <fill>
      <patternFill patternType="solid">
        <fgColor rgb="FFFFF1F1"/>
        <bgColor indexed="64"/>
      </patternFill>
    </fill>
    <fill>
      <patternFill patternType="solid">
        <fgColor rgb="FF2E2EFF"/>
        <bgColor indexed="64"/>
      </patternFill>
    </fill>
    <fill>
      <patternFill patternType="solid">
        <fgColor rgb="FF4040FF"/>
        <bgColor indexed="64"/>
      </patternFill>
    </fill>
    <fill>
      <patternFill patternType="solid">
        <fgColor rgb="FF2222FF"/>
        <bgColor indexed="64"/>
      </patternFill>
    </fill>
    <fill>
      <patternFill patternType="solid">
        <fgColor rgb="FFFFBDBD"/>
        <bgColor indexed="64"/>
      </patternFill>
    </fill>
    <fill>
      <patternFill patternType="solid">
        <fgColor rgb="FF1B1BFF"/>
        <bgColor indexed="64"/>
      </patternFill>
    </fill>
    <fill>
      <patternFill patternType="solid">
        <fgColor rgb="FF3030FF"/>
        <bgColor indexed="64"/>
      </patternFill>
    </fill>
    <fill>
      <patternFill patternType="solid">
        <fgColor rgb="FFFFCACA"/>
        <bgColor indexed="64"/>
      </patternFill>
    </fill>
    <fill>
      <patternFill patternType="solid">
        <fgColor rgb="FFFFACAC"/>
        <bgColor indexed="64"/>
      </patternFill>
    </fill>
    <fill>
      <patternFill patternType="solid">
        <fgColor rgb="FF3939FF"/>
        <bgColor indexed="64"/>
      </patternFill>
    </fill>
    <fill>
      <patternFill patternType="solid">
        <fgColor rgb="FFFFD6D6"/>
        <bgColor indexed="64"/>
      </patternFill>
    </fill>
    <fill>
      <patternFill patternType="solid">
        <fgColor rgb="FFFFB9B9"/>
        <bgColor indexed="64"/>
      </patternFill>
    </fill>
    <fill>
      <patternFill patternType="solid">
        <fgColor rgb="FF3434FF"/>
        <bgColor indexed="64"/>
      </patternFill>
    </fill>
    <fill>
      <patternFill patternType="solid">
        <fgColor rgb="FF3B3BFF"/>
        <bgColor indexed="64"/>
      </patternFill>
    </fill>
    <fill>
      <patternFill patternType="solid">
        <fgColor rgb="FFFF6E6E"/>
        <bgColor indexed="64"/>
      </patternFill>
    </fill>
    <fill>
      <patternFill patternType="solid">
        <fgColor rgb="FF1212FF"/>
        <bgColor indexed="64"/>
      </patternFill>
    </fill>
    <fill>
      <patternFill patternType="solid">
        <fgColor rgb="FF1717FF"/>
        <bgColor indexed="64"/>
      </patternFill>
    </fill>
    <fill>
      <patternFill patternType="solid">
        <fgColor rgb="FF3A3AFF"/>
        <bgColor indexed="64"/>
      </patternFill>
    </fill>
    <fill>
      <patternFill patternType="solid">
        <fgColor rgb="FFFF8787"/>
        <bgColor indexed="64"/>
      </patternFill>
    </fill>
    <fill>
      <patternFill patternType="solid">
        <fgColor rgb="FF0000FF"/>
        <bgColor indexed="64"/>
      </patternFill>
    </fill>
    <fill>
      <patternFill patternType="solid">
        <fgColor rgb="FFFF9797"/>
        <bgColor indexed="64"/>
      </patternFill>
    </fill>
    <fill>
      <patternFill patternType="solid">
        <fgColor rgb="FFFF8888"/>
        <bgColor indexed="64"/>
      </patternFill>
    </fill>
    <fill>
      <patternFill patternType="solid">
        <fgColor rgb="FF4F4FFF"/>
        <bgColor indexed="64"/>
      </patternFill>
    </fill>
    <fill>
      <patternFill patternType="solid">
        <fgColor rgb="FF2727FF"/>
        <bgColor indexed="64"/>
      </patternFill>
    </fill>
    <fill>
      <patternFill patternType="solid">
        <fgColor rgb="FFFFA9A9"/>
        <bgColor indexed="64"/>
      </patternFill>
    </fill>
    <fill>
      <patternFill patternType="solid">
        <fgColor rgb="FF4848FF"/>
        <bgColor indexed="64"/>
      </patternFill>
    </fill>
    <fill>
      <patternFill patternType="solid">
        <fgColor rgb="FFFFA5A5"/>
        <bgColor indexed="64"/>
      </patternFill>
    </fill>
    <fill>
      <patternFill patternType="solid">
        <fgColor rgb="FFFF7F7F"/>
        <bgColor indexed="64"/>
      </patternFill>
    </fill>
    <fill>
      <patternFill patternType="solid">
        <fgColor rgb="FF5151FF"/>
        <bgColor indexed="64"/>
      </patternFill>
    </fill>
    <fill>
      <patternFill patternType="solid">
        <fgColor rgb="FF0C0CFF"/>
        <bgColor indexed="64"/>
      </patternFill>
    </fill>
    <fill>
      <patternFill patternType="solid">
        <fgColor rgb="FFFF9F00"/>
        <bgColor indexed="64"/>
      </patternFill>
    </fill>
    <fill>
      <patternFill patternType="solid">
        <fgColor rgb="FFFF5D5D"/>
        <bgColor indexed="64"/>
      </patternFill>
    </fill>
    <fill>
      <patternFill patternType="solid">
        <fgColor rgb="FFFF0808"/>
        <bgColor indexed="64"/>
      </patternFill>
    </fill>
    <fill>
      <patternFill patternType="solid">
        <fgColor rgb="FFFF1717"/>
        <bgColor indexed="64"/>
      </patternFill>
    </fill>
    <fill>
      <patternFill patternType="solid">
        <fgColor rgb="FFFF0E0E"/>
        <bgColor indexed="64"/>
      </patternFill>
    </fill>
    <fill>
      <patternFill patternType="solid">
        <fgColor rgb="FFFF1616"/>
        <bgColor indexed="64"/>
      </patternFill>
    </fill>
    <fill>
      <patternFill patternType="solid">
        <fgColor rgb="FFFF0101"/>
        <bgColor indexed="64"/>
      </patternFill>
    </fill>
    <fill>
      <patternFill patternType="solid">
        <fgColor rgb="FFFF7B7B"/>
        <bgColor indexed="64"/>
      </patternFill>
    </fill>
    <fill>
      <patternFill patternType="solid">
        <fgColor rgb="FFFF9E9E"/>
        <bgColor indexed="64"/>
      </patternFill>
    </fill>
    <fill>
      <patternFill patternType="solid">
        <fgColor rgb="FFFF1D1D"/>
        <bgColor indexed="64"/>
      </patternFill>
    </fill>
    <fill>
      <patternFill patternType="solid">
        <fgColor rgb="FFFF0202"/>
        <bgColor indexed="64"/>
      </patternFill>
    </fill>
    <fill>
      <patternFill patternType="solid">
        <fgColor rgb="FFFFDFDF"/>
        <bgColor indexed="64"/>
      </patternFill>
    </fill>
    <fill>
      <patternFill patternType="solid">
        <fgColor rgb="FFFFF5F5"/>
        <bgColor indexed="64"/>
      </patternFill>
    </fill>
    <fill>
      <patternFill patternType="solid">
        <fgColor rgb="FF6969FF"/>
        <bgColor indexed="64"/>
      </patternFill>
    </fill>
    <fill>
      <patternFill patternType="solid">
        <fgColor rgb="FF7D7DFF"/>
        <bgColor indexed="64"/>
      </patternFill>
    </fill>
    <fill>
      <patternFill patternType="solid">
        <fgColor rgb="FF6161FF"/>
        <bgColor indexed="64"/>
      </patternFill>
    </fill>
    <fill>
      <patternFill patternType="solid">
        <fgColor rgb="FFFF0A0A"/>
        <bgColor indexed="64"/>
      </patternFill>
    </fill>
    <fill>
      <patternFill patternType="solid">
        <fgColor rgb="FFFF6B6B"/>
        <bgColor indexed="64"/>
      </patternFill>
    </fill>
    <fill>
      <patternFill patternType="solid">
        <fgColor rgb="FF3232FF"/>
        <bgColor indexed="64"/>
      </patternFill>
    </fill>
    <fill>
      <patternFill patternType="solid">
        <fgColor rgb="FF4646FF"/>
        <bgColor indexed="64"/>
      </patternFill>
    </fill>
    <fill>
      <patternFill patternType="solid">
        <fgColor rgb="FF4949FF"/>
        <bgColor indexed="64"/>
      </patternFill>
    </fill>
    <fill>
      <patternFill patternType="solid">
        <fgColor rgb="FFFFDCDC"/>
        <bgColor indexed="64"/>
      </patternFill>
    </fill>
    <fill>
      <patternFill patternType="solid">
        <fgColor rgb="FFFF5E5E"/>
        <bgColor indexed="64"/>
      </patternFill>
    </fill>
    <fill>
      <patternFill patternType="solid">
        <fgColor rgb="FFFFD8D8"/>
        <bgColor indexed="64"/>
      </patternFill>
    </fill>
    <fill>
      <patternFill patternType="solid">
        <fgColor rgb="FFFF4C4C"/>
        <bgColor indexed="64"/>
      </patternFill>
    </fill>
    <fill>
      <patternFill patternType="solid">
        <fgColor rgb="FFFF6363"/>
        <bgColor indexed="64"/>
      </patternFill>
    </fill>
    <fill>
      <patternFill patternType="solid">
        <fgColor rgb="FF2D2DFF"/>
        <bgColor indexed="64"/>
      </patternFill>
    </fill>
    <fill>
      <patternFill patternType="solid">
        <fgColor rgb="FFFFE6E6"/>
        <bgColor indexed="64"/>
      </patternFill>
    </fill>
    <fill>
      <patternFill patternType="solid">
        <fgColor rgb="FFFFB7B7"/>
        <bgColor indexed="64"/>
      </patternFill>
    </fill>
    <fill>
      <patternFill patternType="solid">
        <fgColor rgb="FF1111FF"/>
        <bgColor indexed="64"/>
      </patternFill>
    </fill>
    <fill>
      <patternFill patternType="solid">
        <fgColor rgb="FFFF5353"/>
        <bgColor indexed="64"/>
      </patternFill>
    </fill>
    <fill>
      <patternFill patternType="solid">
        <fgColor rgb="FFFF7979"/>
        <bgColor indexed="64"/>
      </patternFill>
    </fill>
    <fill>
      <patternFill patternType="solid">
        <fgColor rgb="FF2828FF"/>
        <bgColor indexed="64"/>
      </patternFill>
    </fill>
    <fill>
      <patternFill patternType="solid">
        <fgColor rgb="FF0808FF"/>
        <bgColor indexed="64"/>
      </patternFill>
    </fill>
    <fill>
      <patternFill patternType="solid">
        <fgColor rgb="FF2626FF"/>
        <bgColor indexed="64"/>
      </patternFill>
    </fill>
    <fill>
      <patternFill patternType="solid">
        <fgColor rgb="FF0505FF"/>
        <bgColor indexed="64"/>
      </patternFill>
    </fill>
    <fill>
      <patternFill patternType="solid">
        <fgColor rgb="FFFF9090"/>
        <bgColor indexed="64"/>
      </patternFill>
    </fill>
    <fill>
      <patternFill patternType="solid">
        <fgColor rgb="FF1616FF"/>
        <bgColor indexed="64"/>
      </patternFill>
    </fill>
    <fill>
      <patternFill patternType="solid">
        <fgColor rgb="FF1414FF"/>
        <bgColor indexed="64"/>
      </patternFill>
    </fill>
    <fill>
      <patternFill patternType="solid">
        <fgColor rgb="FF5959FF"/>
        <bgColor indexed="64"/>
      </patternFill>
    </fill>
    <fill>
      <patternFill patternType="solid">
        <fgColor rgb="FF3131FF"/>
        <bgColor indexed="64"/>
      </patternFill>
    </fill>
    <fill>
      <patternFill patternType="solid">
        <fgColor rgb="FFBFFF00"/>
        <bgColor indexed="64"/>
      </patternFill>
    </fill>
    <fill>
      <patternFill patternType="solid">
        <fgColor rgb="FFFF9A9A"/>
        <bgColor indexed="64"/>
      </patternFill>
    </fill>
    <fill>
      <patternFill patternType="solid">
        <fgColor rgb="FFFFA6A6"/>
        <bgColor indexed="64"/>
      </patternFill>
    </fill>
    <fill>
      <patternFill patternType="solid">
        <fgColor rgb="FFFF7575"/>
        <bgColor indexed="64"/>
      </patternFill>
    </fill>
    <fill>
      <patternFill patternType="solid">
        <fgColor rgb="FFFF0606"/>
        <bgColor indexed="64"/>
      </patternFill>
    </fill>
    <fill>
      <patternFill patternType="solid">
        <fgColor rgb="FFFF7474"/>
        <bgColor indexed="64"/>
      </patternFill>
    </fill>
    <fill>
      <patternFill patternType="solid">
        <fgColor rgb="FF0404FF"/>
        <bgColor indexed="64"/>
      </patternFill>
    </fill>
    <fill>
      <patternFill patternType="solid">
        <fgColor rgb="FFFFA7A7"/>
        <bgColor indexed="64"/>
      </patternFill>
    </fill>
    <fill>
      <patternFill patternType="solid">
        <fgColor rgb="FFFFB4B4"/>
        <bgColor indexed="64"/>
      </patternFill>
    </fill>
    <fill>
      <patternFill patternType="solid">
        <fgColor rgb="FF3636FF"/>
        <bgColor indexed="64"/>
      </patternFill>
    </fill>
    <fill>
      <patternFill patternType="solid">
        <fgColor rgb="FF2929FF"/>
        <bgColor indexed="64"/>
      </patternFill>
    </fill>
    <fill>
      <patternFill patternType="solid">
        <fgColor rgb="FFFFAEAE"/>
        <bgColor indexed="64"/>
      </patternFill>
    </fill>
    <fill>
      <patternFill patternType="solid">
        <fgColor rgb="FF1515FF"/>
        <bgColor indexed="64"/>
      </patternFill>
    </fill>
    <fill>
      <patternFill patternType="solid">
        <fgColor rgb="FF1C1CFF"/>
        <bgColor indexed="64"/>
      </patternFill>
    </fill>
    <fill>
      <patternFill patternType="solid">
        <fgColor rgb="FFFF0909"/>
        <bgColor indexed="64"/>
      </patternFill>
    </fill>
    <fill>
      <patternFill patternType="solid">
        <fgColor rgb="FF20FF00"/>
        <bgColor indexed="64"/>
      </patternFill>
    </fill>
    <fill>
      <patternFill patternType="solid">
        <fgColor rgb="FF3333FF"/>
        <bgColor indexed="64"/>
      </patternFill>
    </fill>
    <fill>
      <patternFill patternType="solid">
        <fgColor rgb="FF1D1DFF"/>
        <bgColor indexed="64"/>
      </patternFill>
    </fill>
    <fill>
      <patternFill patternType="solid">
        <fgColor rgb="FF1919FF"/>
        <bgColor indexed="64"/>
      </patternFill>
    </fill>
    <fill>
      <patternFill patternType="solid">
        <fgColor rgb="FF0A0AFF"/>
        <bgColor indexed="64"/>
      </patternFill>
    </fill>
    <fill>
      <patternFill patternType="solid">
        <fgColor rgb="FF2424FF"/>
        <bgColor indexed="64"/>
      </patternFill>
    </fill>
    <fill>
      <patternFill patternType="solid">
        <fgColor rgb="FF2525FF"/>
        <bgColor indexed="64"/>
      </patternFill>
    </fill>
    <fill>
      <patternFill patternType="solid">
        <fgColor rgb="FF4343FF"/>
        <bgColor indexed="64"/>
      </patternFill>
    </fill>
    <fill>
      <patternFill patternType="solid">
        <fgColor rgb="FF2121FF"/>
        <bgColor indexed="64"/>
      </patternFill>
    </fill>
    <fill>
      <patternFill patternType="solid">
        <fgColor rgb="FF2B2BFF"/>
        <bgColor indexed="64"/>
      </patternFill>
    </fill>
    <fill>
      <patternFill patternType="solid">
        <fgColor rgb="FF1010FF"/>
        <bgColor indexed="64"/>
      </patternFill>
    </fill>
    <fill>
      <patternFill patternType="solid">
        <fgColor rgb="FF1313FF"/>
        <bgColor indexed="64"/>
      </patternFill>
    </fill>
    <fill>
      <patternFill patternType="solid">
        <fgColor rgb="FF1818FF"/>
        <bgColor indexed="64"/>
      </patternFill>
    </fill>
    <fill>
      <patternFill patternType="solid">
        <fgColor rgb="FF00FF80"/>
        <bgColor indexed="64"/>
      </patternFill>
    </fill>
    <fill>
      <patternFill patternType="solid">
        <fgColor rgb="FFFF0707"/>
        <bgColor indexed="64"/>
      </patternFill>
    </fill>
    <fill>
      <patternFill patternType="solid">
        <fgColor rgb="FF00DFFF"/>
        <bgColor indexed="64"/>
      </patternFill>
    </fill>
    <fill>
      <patternFill patternType="solid">
        <fgColor rgb="FF0D0DFF"/>
        <bgColor indexed="64"/>
      </patternFill>
    </fill>
    <fill>
      <patternFill patternType="solid">
        <fgColor rgb="FF0040FF"/>
        <bgColor indexed="64"/>
      </patternFill>
    </fill>
    <fill>
      <patternFill patternType="solid">
        <fgColor rgb="FF0606FF"/>
        <bgColor indexed="64"/>
      </patternFill>
    </fill>
    <fill>
      <patternFill patternType="solid">
        <fgColor rgb="FF6000FF"/>
        <bgColor indexed="64"/>
      </patternFill>
    </fill>
    <fill>
      <patternFill patternType="solid">
        <fgColor rgb="FFFF00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medium">
        <color auto="1"/>
      </left>
      <right style="medium">
        <color auto="1"/>
      </right>
      <top/>
      <bottom/>
      <diagonal/>
    </border>
    <border>
      <left/>
      <right style="thin">
        <color auto="1"/>
      </right>
      <top/>
      <bottom/>
      <diagonal/>
    </border>
    <border>
      <left/>
      <right style="medium">
        <color auto="1"/>
      </right>
      <top/>
      <bottom/>
      <diagonal/>
    </border>
    <border>
      <left style="medium">
        <color auto="1"/>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748">
    <xf numFmtId="0" fontId="0" fillId="0" borderId="0" xfId="0"/>
    <xf numFmtId="0" fontId="16" fillId="0" borderId="0" xfId="0" applyFont="1" applyAlignment="1">
      <alignment horizontal="center" wrapText="1"/>
    </xf>
    <xf numFmtId="49" fontId="16" fillId="0" borderId="0" xfId="0" applyNumberFormat="1" applyFont="1" applyAlignment="1">
      <alignment horizontal="center" wrapText="1"/>
    </xf>
    <xf numFmtId="0" fontId="0" fillId="0" borderId="0" xfId="0" applyFill="1"/>
    <xf numFmtId="0" fontId="0" fillId="0" borderId="10" xfId="0" applyFill="1" applyBorder="1"/>
    <xf numFmtId="0" fontId="18" fillId="0" borderId="0" xfId="0" applyFont="1" applyAlignment="1">
      <alignment horizontal="center" wrapText="1"/>
    </xf>
    <xf numFmtId="0" fontId="19" fillId="0" borderId="0" xfId="0" applyFont="1"/>
    <xf numFmtId="0" fontId="20" fillId="0" borderId="0" xfId="0" applyFont="1" applyAlignment="1">
      <alignment horizontal="center" wrapText="1"/>
    </xf>
    <xf numFmtId="0" fontId="0" fillId="0" borderId="0" xfId="0" applyFill="1" applyBorder="1"/>
    <xf numFmtId="0" fontId="0" fillId="0" borderId="12" xfId="0" applyFill="1" applyBorder="1"/>
    <xf numFmtId="0" fontId="0" fillId="0" borderId="13" xfId="0" applyFill="1" applyBorder="1"/>
    <xf numFmtId="0" fontId="16" fillId="0" borderId="11" xfId="0" applyNumberFormat="1" applyFont="1" applyBorder="1" applyAlignment="1">
      <alignment horizontal="center"/>
    </xf>
    <xf numFmtId="0" fontId="0" fillId="0" borderId="11" xfId="0" applyNumberFormat="1" applyBorder="1" applyAlignment="1">
      <alignment horizontal="center"/>
    </xf>
    <xf numFmtId="0" fontId="16" fillId="0" borderId="11" xfId="0" applyNumberFormat="1" applyFont="1" applyBorder="1" applyAlignment="1">
      <alignment horizontal="center" vertical="top" textRotation="90" wrapText="1"/>
    </xf>
    <xf numFmtId="0" fontId="21" fillId="0" borderId="0" xfId="0" applyFont="1"/>
    <xf numFmtId="164" fontId="22" fillId="33" borderId="0" xfId="0" applyNumberFormat="1" applyFont="1" applyFill="1" applyBorder="1" applyAlignment="1">
      <alignment vertical="top" textRotation="90" wrapText="1"/>
    </xf>
    <xf numFmtId="164" fontId="22" fillId="34" borderId="10" xfId="0" applyNumberFormat="1" applyFont="1" applyFill="1" applyBorder="1" applyAlignment="1">
      <alignment vertical="top" textRotation="90" wrapText="1"/>
    </xf>
    <xf numFmtId="164" fontId="22" fillId="34" borderId="0" xfId="0" applyNumberFormat="1" applyFont="1" applyFill="1" applyBorder="1" applyAlignment="1">
      <alignment vertical="top" textRotation="90" wrapText="1"/>
    </xf>
    <xf numFmtId="164" fontId="22" fillId="35" borderId="0" xfId="0" applyNumberFormat="1" applyFont="1" applyFill="1" applyBorder="1" applyAlignment="1">
      <alignment vertical="top" textRotation="90" wrapText="1"/>
    </xf>
    <xf numFmtId="164" fontId="22" fillId="35" borderId="12" xfId="0" applyNumberFormat="1" applyFont="1" applyFill="1" applyBorder="1" applyAlignment="1">
      <alignment vertical="top" textRotation="90" wrapText="1"/>
    </xf>
    <xf numFmtId="164" fontId="22" fillId="36" borderId="0" xfId="0" applyNumberFormat="1" applyFont="1" applyFill="1" applyBorder="1" applyAlignment="1">
      <alignment vertical="top" textRotation="90" wrapText="1"/>
    </xf>
    <xf numFmtId="164" fontId="22" fillId="36" borderId="13" xfId="0" applyNumberFormat="1" applyFont="1" applyFill="1" applyBorder="1" applyAlignment="1">
      <alignment vertical="top" textRotation="90" wrapText="1"/>
    </xf>
    <xf numFmtId="2" fontId="22" fillId="37" borderId="0" xfId="0" applyNumberFormat="1" applyFont="1" applyFill="1" applyAlignment="1">
      <alignment horizontal="center" wrapText="1"/>
    </xf>
    <xf numFmtId="2" fontId="22" fillId="38" borderId="0" xfId="0" applyNumberFormat="1" applyFont="1" applyFill="1" applyAlignment="1">
      <alignment horizontal="center" wrapText="1"/>
    </xf>
    <xf numFmtId="2" fontId="22" fillId="39" borderId="0" xfId="0" applyNumberFormat="1" applyFont="1" applyFill="1" applyAlignment="1">
      <alignment horizontal="center" wrapText="1"/>
    </xf>
    <xf numFmtId="2" fontId="22" fillId="40" borderId="0" xfId="0" applyNumberFormat="1" applyFont="1" applyFill="1" applyAlignment="1">
      <alignment horizontal="center" wrapText="1"/>
    </xf>
    <xf numFmtId="2" fontId="22" fillId="41" borderId="0" xfId="0" applyNumberFormat="1" applyFont="1" applyFill="1" applyAlignment="1">
      <alignment horizontal="center" wrapText="1"/>
    </xf>
    <xf numFmtId="2" fontId="22" fillId="42" borderId="0" xfId="0" applyNumberFormat="1" applyFont="1" applyFill="1" applyAlignment="1">
      <alignment horizontal="center" wrapText="1"/>
    </xf>
    <xf numFmtId="2" fontId="22" fillId="43" borderId="0" xfId="0" applyNumberFormat="1" applyFont="1" applyFill="1" applyAlignment="1">
      <alignment horizontal="center" wrapText="1"/>
    </xf>
    <xf numFmtId="2" fontId="22" fillId="44" borderId="0" xfId="0" applyNumberFormat="1" applyFont="1" applyFill="1" applyAlignment="1">
      <alignment horizontal="center" wrapText="1"/>
    </xf>
    <xf numFmtId="2" fontId="22" fillId="45" borderId="0" xfId="0" applyNumberFormat="1" applyFont="1" applyFill="1" applyAlignment="1">
      <alignment horizontal="center" wrapText="1"/>
    </xf>
    <xf numFmtId="2" fontId="22" fillId="46" borderId="0" xfId="0" applyNumberFormat="1" applyFont="1" applyFill="1" applyAlignment="1">
      <alignment horizontal="center" wrapText="1"/>
    </xf>
    <xf numFmtId="2" fontId="22" fillId="47" borderId="0" xfId="0" applyNumberFormat="1" applyFont="1" applyFill="1" applyAlignment="1">
      <alignment horizontal="center" wrapText="1"/>
    </xf>
    <xf numFmtId="2" fontId="22" fillId="48" borderId="0" xfId="0" applyNumberFormat="1" applyFont="1" applyFill="1" applyAlignment="1">
      <alignment horizontal="center" wrapText="1"/>
    </xf>
    <xf numFmtId="2" fontId="22" fillId="49" borderId="0" xfId="0" applyNumberFormat="1" applyFont="1" applyFill="1" applyAlignment="1">
      <alignment horizontal="center" wrapText="1"/>
    </xf>
    <xf numFmtId="2" fontId="22" fillId="50" borderId="0" xfId="0" applyNumberFormat="1" applyFont="1" applyFill="1" applyAlignment="1">
      <alignment horizontal="center" wrapText="1"/>
    </xf>
    <xf numFmtId="2" fontId="22" fillId="51" borderId="0" xfId="0" applyNumberFormat="1" applyFont="1" applyFill="1" applyAlignment="1">
      <alignment horizontal="center" wrapText="1"/>
    </xf>
    <xf numFmtId="2" fontId="22" fillId="52" borderId="0" xfId="0" applyNumberFormat="1" applyFont="1" applyFill="1" applyAlignment="1">
      <alignment horizontal="center" wrapText="1"/>
    </xf>
    <xf numFmtId="2" fontId="22" fillId="53" borderId="0" xfId="0" applyNumberFormat="1" applyFont="1" applyFill="1" applyAlignment="1">
      <alignment horizontal="center" wrapText="1"/>
    </xf>
    <xf numFmtId="2" fontId="22" fillId="54" borderId="0" xfId="0" applyNumberFormat="1" applyFont="1" applyFill="1" applyAlignment="1">
      <alignment horizontal="center" wrapText="1"/>
    </xf>
    <xf numFmtId="2" fontId="22" fillId="55" borderId="0" xfId="0" applyNumberFormat="1" applyFont="1" applyFill="1" applyAlignment="1">
      <alignment horizontal="center" wrapText="1"/>
    </xf>
    <xf numFmtId="2" fontId="22" fillId="56" borderId="0" xfId="0" applyNumberFormat="1" applyFont="1" applyFill="1" applyAlignment="1">
      <alignment horizontal="center" wrapText="1"/>
    </xf>
    <xf numFmtId="2" fontId="22" fillId="57" borderId="0" xfId="0" applyNumberFormat="1" applyFont="1" applyFill="1" applyAlignment="1">
      <alignment horizontal="center" wrapText="1"/>
    </xf>
    <xf numFmtId="2" fontId="22" fillId="58" borderId="0" xfId="0" applyNumberFormat="1" applyFont="1" applyFill="1" applyAlignment="1">
      <alignment horizontal="center" wrapText="1"/>
    </xf>
    <xf numFmtId="2" fontId="22" fillId="59" borderId="0" xfId="0" applyNumberFormat="1" applyFont="1" applyFill="1" applyAlignment="1">
      <alignment horizontal="center" wrapText="1"/>
    </xf>
    <xf numFmtId="2" fontId="22" fillId="60" borderId="0" xfId="0" applyNumberFormat="1" applyFont="1" applyFill="1" applyAlignment="1">
      <alignment horizontal="center" wrapText="1"/>
    </xf>
    <xf numFmtId="2" fontId="22" fillId="61" borderId="0" xfId="0" applyNumberFormat="1" applyFont="1" applyFill="1" applyAlignment="1">
      <alignment horizontal="center" wrapText="1"/>
    </xf>
    <xf numFmtId="2" fontId="22" fillId="62" borderId="0" xfId="0" applyNumberFormat="1" applyFont="1" applyFill="1" applyAlignment="1">
      <alignment horizontal="center" wrapText="1"/>
    </xf>
    <xf numFmtId="2" fontId="22" fillId="63" borderId="0" xfId="0" applyNumberFormat="1" applyFont="1" applyFill="1" applyAlignment="1">
      <alignment horizontal="center" wrapText="1"/>
    </xf>
    <xf numFmtId="2" fontId="22" fillId="64" borderId="0" xfId="0" applyNumberFormat="1" applyFont="1" applyFill="1" applyAlignment="1">
      <alignment horizontal="center" wrapText="1"/>
    </xf>
    <xf numFmtId="2" fontId="22" fillId="65" borderId="0" xfId="0" applyNumberFormat="1" applyFont="1" applyFill="1" applyAlignment="1">
      <alignment horizontal="center" wrapText="1"/>
    </xf>
    <xf numFmtId="2" fontId="22" fillId="66" borderId="0" xfId="0" applyNumberFormat="1" applyFont="1" applyFill="1" applyAlignment="1">
      <alignment horizontal="center" wrapText="1"/>
    </xf>
    <xf numFmtId="2" fontId="22" fillId="67" borderId="0" xfId="0" applyNumberFormat="1" applyFont="1" applyFill="1" applyAlignment="1">
      <alignment horizontal="center" wrapText="1"/>
    </xf>
    <xf numFmtId="2" fontId="22" fillId="68" borderId="0" xfId="0" applyNumberFormat="1" applyFont="1" applyFill="1" applyAlignment="1">
      <alignment horizontal="center" wrapText="1"/>
    </xf>
    <xf numFmtId="2" fontId="22" fillId="69" borderId="0" xfId="0" applyNumberFormat="1" applyFont="1" applyFill="1" applyAlignment="1">
      <alignment horizontal="center" wrapText="1"/>
    </xf>
    <xf numFmtId="2" fontId="22" fillId="70" borderId="0" xfId="0" applyNumberFormat="1" applyFont="1" applyFill="1" applyAlignment="1">
      <alignment horizontal="center" wrapText="1"/>
    </xf>
    <xf numFmtId="2" fontId="22" fillId="72" borderId="0" xfId="0" applyNumberFormat="1" applyFont="1" applyFill="1" applyAlignment="1">
      <alignment horizontal="center" wrapText="1"/>
    </xf>
    <xf numFmtId="2" fontId="22" fillId="73" borderId="0" xfId="0" applyNumberFormat="1" applyFont="1" applyFill="1" applyAlignment="1">
      <alignment horizontal="center" wrapText="1"/>
    </xf>
    <xf numFmtId="2" fontId="22" fillId="74" borderId="0" xfId="0" applyNumberFormat="1" applyFont="1" applyFill="1" applyAlignment="1">
      <alignment horizontal="center" wrapText="1"/>
    </xf>
    <xf numFmtId="2" fontId="22" fillId="75" borderId="0" xfId="0" applyNumberFormat="1" applyFont="1" applyFill="1" applyAlignment="1">
      <alignment horizontal="center" wrapText="1"/>
    </xf>
    <xf numFmtId="2" fontId="22" fillId="76" borderId="0" xfId="0" applyNumberFormat="1" applyFont="1" applyFill="1" applyAlignment="1">
      <alignment horizontal="center" wrapText="1"/>
    </xf>
    <xf numFmtId="2" fontId="22" fillId="77" borderId="0" xfId="0" applyNumberFormat="1" applyFont="1" applyFill="1" applyAlignment="1">
      <alignment horizontal="center" wrapText="1"/>
    </xf>
    <xf numFmtId="2" fontId="22" fillId="78" borderId="0" xfId="0" applyNumberFormat="1" applyFont="1" applyFill="1" applyAlignment="1">
      <alignment horizontal="center" wrapText="1"/>
    </xf>
    <xf numFmtId="2" fontId="22" fillId="79" borderId="0" xfId="0" applyNumberFormat="1" applyFont="1" applyFill="1" applyAlignment="1">
      <alignment horizontal="center" wrapText="1"/>
    </xf>
    <xf numFmtId="2" fontId="22" fillId="80" borderId="0" xfId="0" applyNumberFormat="1" applyFont="1" applyFill="1" applyAlignment="1">
      <alignment horizontal="center" wrapText="1"/>
    </xf>
    <xf numFmtId="2" fontId="22" fillId="81" borderId="0" xfId="0" applyNumberFormat="1" applyFont="1" applyFill="1" applyAlignment="1">
      <alignment horizontal="center" wrapText="1"/>
    </xf>
    <xf numFmtId="2" fontId="22" fillId="82" borderId="0" xfId="0" applyNumberFormat="1" applyFont="1" applyFill="1" applyAlignment="1">
      <alignment horizontal="center" wrapText="1"/>
    </xf>
    <xf numFmtId="2" fontId="22" fillId="83" borderId="0" xfId="0" applyNumberFormat="1" applyFont="1" applyFill="1" applyAlignment="1">
      <alignment horizontal="center" wrapText="1"/>
    </xf>
    <xf numFmtId="2" fontId="22" fillId="84" borderId="0" xfId="0" applyNumberFormat="1" applyFont="1" applyFill="1" applyAlignment="1">
      <alignment horizontal="center" wrapText="1"/>
    </xf>
    <xf numFmtId="2" fontId="22" fillId="85" borderId="0" xfId="0" applyNumberFormat="1" applyFont="1" applyFill="1" applyAlignment="1">
      <alignment horizontal="center" wrapText="1"/>
    </xf>
    <xf numFmtId="2" fontId="22" fillId="86" borderId="0" xfId="0" applyNumberFormat="1" applyFont="1" applyFill="1" applyAlignment="1">
      <alignment horizontal="center" wrapText="1"/>
    </xf>
    <xf numFmtId="2" fontId="22" fillId="87" borderId="0" xfId="0" applyNumberFormat="1" applyFont="1" applyFill="1" applyAlignment="1">
      <alignment horizontal="center" wrapText="1"/>
    </xf>
    <xf numFmtId="2" fontId="22" fillId="88" borderId="0" xfId="0" applyNumberFormat="1" applyFont="1" applyFill="1" applyAlignment="1">
      <alignment horizontal="center" wrapText="1"/>
    </xf>
    <xf numFmtId="2" fontId="22" fillId="89" borderId="0" xfId="0" applyNumberFormat="1" applyFont="1" applyFill="1" applyAlignment="1">
      <alignment horizontal="center" wrapText="1"/>
    </xf>
    <xf numFmtId="2" fontId="22" fillId="90" borderId="0" xfId="0" applyNumberFormat="1" applyFont="1" applyFill="1" applyAlignment="1">
      <alignment horizontal="center" wrapText="1"/>
    </xf>
    <xf numFmtId="2" fontId="22" fillId="91" borderId="0" xfId="0" applyNumberFormat="1" applyFont="1" applyFill="1" applyAlignment="1">
      <alignment horizontal="center" wrapText="1"/>
    </xf>
    <xf numFmtId="2" fontId="22" fillId="92" borderId="0" xfId="0" applyNumberFormat="1" applyFont="1" applyFill="1" applyAlignment="1">
      <alignment horizontal="center" wrapText="1"/>
    </xf>
    <xf numFmtId="2" fontId="22" fillId="93" borderId="0" xfId="0" applyNumberFormat="1" applyFont="1" applyFill="1" applyAlignment="1">
      <alignment horizontal="center" wrapText="1"/>
    </xf>
    <xf numFmtId="2" fontId="22" fillId="94" borderId="0" xfId="0" applyNumberFormat="1" applyFont="1" applyFill="1" applyAlignment="1">
      <alignment horizontal="center" wrapText="1"/>
    </xf>
    <xf numFmtId="2" fontId="22" fillId="95" borderId="0" xfId="0" applyNumberFormat="1" applyFont="1" applyFill="1" applyAlignment="1">
      <alignment horizontal="center" wrapText="1"/>
    </xf>
    <xf numFmtId="2" fontId="22" fillId="96" borderId="0" xfId="0" applyNumberFormat="1" applyFont="1" applyFill="1" applyAlignment="1">
      <alignment horizontal="center" wrapText="1"/>
    </xf>
    <xf numFmtId="2" fontId="22" fillId="97" borderId="0" xfId="0" applyNumberFormat="1" applyFont="1" applyFill="1" applyAlignment="1">
      <alignment horizontal="center" wrapText="1"/>
    </xf>
    <xf numFmtId="2" fontId="22" fillId="98" borderId="0" xfId="0" applyNumberFormat="1" applyFont="1" applyFill="1" applyAlignment="1">
      <alignment horizontal="center" wrapText="1"/>
    </xf>
    <xf numFmtId="2" fontId="22" fillId="99" borderId="0" xfId="0" applyNumberFormat="1" applyFont="1" applyFill="1" applyAlignment="1">
      <alignment horizontal="center" wrapText="1"/>
    </xf>
    <xf numFmtId="2" fontId="22" fillId="100" borderId="0" xfId="0" applyNumberFormat="1" applyFont="1" applyFill="1" applyAlignment="1">
      <alignment horizontal="center" wrapText="1"/>
    </xf>
    <xf numFmtId="2" fontId="22" fillId="101" borderId="0" xfId="0" applyNumberFormat="1" applyFont="1" applyFill="1" applyAlignment="1">
      <alignment horizontal="center" wrapText="1"/>
    </xf>
    <xf numFmtId="2" fontId="22" fillId="102" borderId="0" xfId="0" applyNumberFormat="1" applyFont="1" applyFill="1" applyAlignment="1">
      <alignment horizontal="center" wrapText="1"/>
    </xf>
    <xf numFmtId="2" fontId="22" fillId="103" borderId="0" xfId="0" applyNumberFormat="1" applyFont="1" applyFill="1" applyAlignment="1">
      <alignment horizontal="center" wrapText="1"/>
    </xf>
    <xf numFmtId="2" fontId="22" fillId="104" borderId="0" xfId="0" applyNumberFormat="1" applyFont="1" applyFill="1" applyAlignment="1">
      <alignment horizontal="center" wrapText="1"/>
    </xf>
    <xf numFmtId="2" fontId="22" fillId="105" borderId="0" xfId="0" applyNumberFormat="1" applyFont="1" applyFill="1" applyAlignment="1">
      <alignment horizontal="center" wrapText="1"/>
    </xf>
    <xf numFmtId="2" fontId="22" fillId="106" borderId="0" xfId="0" applyNumberFormat="1" applyFont="1" applyFill="1" applyAlignment="1">
      <alignment horizontal="center" wrapText="1"/>
    </xf>
    <xf numFmtId="2" fontId="22" fillId="107" borderId="0" xfId="0" applyNumberFormat="1" applyFont="1" applyFill="1" applyAlignment="1">
      <alignment horizontal="center" wrapText="1"/>
    </xf>
    <xf numFmtId="2" fontId="22" fillId="108" borderId="0" xfId="0" applyNumberFormat="1" applyFont="1" applyFill="1" applyAlignment="1">
      <alignment horizontal="center" wrapText="1"/>
    </xf>
    <xf numFmtId="2" fontId="22" fillId="109" borderId="0" xfId="0" applyNumberFormat="1" applyFont="1" applyFill="1" applyAlignment="1">
      <alignment horizontal="center" wrapText="1"/>
    </xf>
    <xf numFmtId="2" fontId="22" fillId="110" borderId="0" xfId="0" applyNumberFormat="1" applyFont="1" applyFill="1" applyAlignment="1">
      <alignment horizontal="center" wrapText="1"/>
    </xf>
    <xf numFmtId="2" fontId="22" fillId="111" borderId="0" xfId="0" applyNumberFormat="1" applyFont="1" applyFill="1" applyAlignment="1">
      <alignment horizontal="center" wrapText="1"/>
    </xf>
    <xf numFmtId="2" fontId="22" fillId="112" borderId="0" xfId="0" applyNumberFormat="1" applyFont="1" applyFill="1" applyAlignment="1">
      <alignment horizontal="center" wrapText="1"/>
    </xf>
    <xf numFmtId="2" fontId="22" fillId="113" borderId="0" xfId="0" applyNumberFormat="1" applyFont="1" applyFill="1" applyAlignment="1">
      <alignment horizontal="center" wrapText="1"/>
    </xf>
    <xf numFmtId="2" fontId="22" fillId="114" borderId="0" xfId="0" applyNumberFormat="1" applyFont="1" applyFill="1" applyAlignment="1">
      <alignment horizontal="center" wrapText="1"/>
    </xf>
    <xf numFmtId="2" fontId="22" fillId="115" borderId="0" xfId="0" applyNumberFormat="1" applyFont="1" applyFill="1" applyAlignment="1">
      <alignment horizontal="center" wrapText="1"/>
    </xf>
    <xf numFmtId="2" fontId="22" fillId="116" borderId="0" xfId="0" applyNumberFormat="1" applyFont="1" applyFill="1" applyAlignment="1">
      <alignment horizontal="center" wrapText="1"/>
    </xf>
    <xf numFmtId="2" fontId="22" fillId="117" borderId="0" xfId="0" applyNumberFormat="1" applyFont="1" applyFill="1" applyAlignment="1">
      <alignment horizontal="center" wrapText="1"/>
    </xf>
    <xf numFmtId="2" fontId="22" fillId="118" borderId="0" xfId="0" applyNumberFormat="1" applyFont="1" applyFill="1" applyAlignment="1">
      <alignment horizontal="center" wrapText="1"/>
    </xf>
    <xf numFmtId="2" fontId="22" fillId="119" borderId="0" xfId="0" applyNumberFormat="1" applyFont="1" applyFill="1" applyAlignment="1">
      <alignment horizontal="center" wrapText="1"/>
    </xf>
    <xf numFmtId="2" fontId="22" fillId="120" borderId="0" xfId="0" applyNumberFormat="1" applyFont="1" applyFill="1" applyAlignment="1">
      <alignment horizontal="center" wrapText="1"/>
    </xf>
    <xf numFmtId="2" fontId="22" fillId="121" borderId="0" xfId="0" applyNumberFormat="1" applyFont="1" applyFill="1" applyAlignment="1">
      <alignment horizontal="center" wrapText="1"/>
    </xf>
    <xf numFmtId="2" fontId="22" fillId="122" borderId="0" xfId="0" applyNumberFormat="1" applyFont="1" applyFill="1" applyAlignment="1">
      <alignment horizontal="center" wrapText="1"/>
    </xf>
    <xf numFmtId="2" fontId="22" fillId="123" borderId="0" xfId="0" applyNumberFormat="1" applyFont="1" applyFill="1" applyAlignment="1">
      <alignment horizontal="center" wrapText="1"/>
    </xf>
    <xf numFmtId="2" fontId="22" fillId="124" borderId="0" xfId="0" applyNumberFormat="1" applyFont="1" applyFill="1" applyAlignment="1">
      <alignment horizontal="center" wrapText="1"/>
    </xf>
    <xf numFmtId="2" fontId="22" fillId="125" borderId="0" xfId="0" applyNumberFormat="1" applyFont="1" applyFill="1" applyAlignment="1">
      <alignment horizontal="center" wrapText="1"/>
    </xf>
    <xf numFmtId="2" fontId="22" fillId="126" borderId="0" xfId="0" applyNumberFormat="1" applyFont="1" applyFill="1" applyAlignment="1">
      <alignment horizontal="center" wrapText="1"/>
    </xf>
    <xf numFmtId="2" fontId="22" fillId="127" borderId="0" xfId="0" applyNumberFormat="1" applyFont="1" applyFill="1" applyAlignment="1">
      <alignment horizontal="center" wrapText="1"/>
    </xf>
    <xf numFmtId="2" fontId="22" fillId="128" borderId="0" xfId="0" applyNumberFormat="1" applyFont="1" applyFill="1" applyAlignment="1">
      <alignment horizontal="center" wrapText="1"/>
    </xf>
    <xf numFmtId="2" fontId="22" fillId="129" borderId="0" xfId="0" applyNumberFormat="1" applyFont="1" applyFill="1" applyAlignment="1">
      <alignment horizontal="center" wrapText="1"/>
    </xf>
    <xf numFmtId="2" fontId="22" fillId="130" borderId="0" xfId="0" applyNumberFormat="1" applyFont="1" applyFill="1" applyAlignment="1">
      <alignment horizontal="center" wrapText="1"/>
    </xf>
    <xf numFmtId="2" fontId="22" fillId="131" borderId="0" xfId="0" applyNumberFormat="1" applyFont="1" applyFill="1" applyAlignment="1">
      <alignment horizontal="center" wrapText="1"/>
    </xf>
    <xf numFmtId="2" fontId="22" fillId="132" borderId="0" xfId="0" applyNumberFormat="1" applyFont="1" applyFill="1" applyAlignment="1">
      <alignment horizontal="center" wrapText="1"/>
    </xf>
    <xf numFmtId="2" fontId="22" fillId="133" borderId="0" xfId="0" applyNumberFormat="1" applyFont="1" applyFill="1" applyAlignment="1">
      <alignment horizontal="center" wrapText="1"/>
    </xf>
    <xf numFmtId="2" fontId="22" fillId="134" borderId="0" xfId="0" applyNumberFormat="1" applyFont="1" applyFill="1" applyAlignment="1">
      <alignment horizontal="center" wrapText="1"/>
    </xf>
    <xf numFmtId="2" fontId="22" fillId="135" borderId="0" xfId="0" applyNumberFormat="1" applyFont="1" applyFill="1" applyAlignment="1">
      <alignment horizontal="center" wrapText="1"/>
    </xf>
    <xf numFmtId="2" fontId="22" fillId="136" borderId="0" xfId="0" applyNumberFormat="1" applyFont="1" applyFill="1" applyAlignment="1">
      <alignment horizontal="center" wrapText="1"/>
    </xf>
    <xf numFmtId="2" fontId="22" fillId="137" borderId="0" xfId="0" applyNumberFormat="1" applyFont="1" applyFill="1" applyAlignment="1">
      <alignment horizontal="center" wrapText="1"/>
    </xf>
    <xf numFmtId="2" fontId="22" fillId="138" borderId="0" xfId="0" applyNumberFormat="1" applyFont="1" applyFill="1" applyAlignment="1">
      <alignment horizontal="center" wrapText="1"/>
    </xf>
    <xf numFmtId="2" fontId="22" fillId="139" borderId="0" xfId="0" applyNumberFormat="1" applyFont="1" applyFill="1" applyAlignment="1">
      <alignment horizontal="center" wrapText="1"/>
    </xf>
    <xf numFmtId="2" fontId="22" fillId="140" borderId="0" xfId="0" applyNumberFormat="1" applyFont="1" applyFill="1" applyAlignment="1">
      <alignment horizontal="center" wrapText="1"/>
    </xf>
    <xf numFmtId="2" fontId="22" fillId="141" borderId="0" xfId="0" applyNumberFormat="1" applyFont="1" applyFill="1" applyAlignment="1">
      <alignment horizontal="center" wrapText="1"/>
    </xf>
    <xf numFmtId="2" fontId="22" fillId="142" borderId="0" xfId="0" applyNumberFormat="1" applyFont="1" applyFill="1" applyAlignment="1">
      <alignment horizontal="center" wrapText="1"/>
    </xf>
    <xf numFmtId="2" fontId="22" fillId="143" borderId="0" xfId="0" applyNumberFormat="1" applyFont="1" applyFill="1" applyAlignment="1">
      <alignment horizontal="center" wrapText="1"/>
    </xf>
    <xf numFmtId="2" fontId="22" fillId="144" borderId="0" xfId="0" applyNumberFormat="1" applyFont="1" applyFill="1" applyAlignment="1">
      <alignment horizontal="center" wrapText="1"/>
    </xf>
    <xf numFmtId="2" fontId="22" fillId="145" borderId="0" xfId="0" applyNumberFormat="1" applyFont="1" applyFill="1" applyAlignment="1">
      <alignment horizontal="center" wrapText="1"/>
    </xf>
    <xf numFmtId="2" fontId="22" fillId="146" borderId="0" xfId="0" applyNumberFormat="1" applyFont="1" applyFill="1" applyAlignment="1">
      <alignment horizontal="center" wrapText="1"/>
    </xf>
    <xf numFmtId="2" fontId="22" fillId="147" borderId="0" xfId="0" applyNumberFormat="1" applyFont="1" applyFill="1" applyAlignment="1">
      <alignment horizontal="center" wrapText="1"/>
    </xf>
    <xf numFmtId="2" fontId="22" fillId="148" borderId="0" xfId="0" applyNumberFormat="1" applyFont="1" applyFill="1" applyAlignment="1">
      <alignment horizontal="center" wrapText="1"/>
    </xf>
    <xf numFmtId="2" fontId="22" fillId="149" borderId="0" xfId="0" applyNumberFormat="1" applyFont="1" applyFill="1" applyAlignment="1">
      <alignment horizontal="center" wrapText="1"/>
    </xf>
    <xf numFmtId="2" fontId="22" fillId="150" borderId="0" xfId="0" applyNumberFormat="1" applyFont="1" applyFill="1" applyAlignment="1">
      <alignment horizontal="center" wrapText="1"/>
    </xf>
    <xf numFmtId="2" fontId="22" fillId="151" borderId="0" xfId="0" applyNumberFormat="1" applyFont="1" applyFill="1" applyAlignment="1">
      <alignment horizontal="center" wrapText="1"/>
    </xf>
    <xf numFmtId="2" fontId="22" fillId="152" borderId="0" xfId="0" applyNumberFormat="1" applyFont="1" applyFill="1" applyAlignment="1">
      <alignment horizontal="center" wrapText="1"/>
    </xf>
    <xf numFmtId="2" fontId="22" fillId="153" borderId="0" xfId="0" applyNumberFormat="1" applyFont="1" applyFill="1" applyAlignment="1">
      <alignment horizontal="center" wrapText="1"/>
    </xf>
    <xf numFmtId="2" fontId="22" fillId="154" borderId="0" xfId="0" applyNumberFormat="1" applyFont="1" applyFill="1" applyAlignment="1">
      <alignment horizontal="center" wrapText="1"/>
    </xf>
    <xf numFmtId="2" fontId="22" fillId="155" borderId="0" xfId="0" applyNumberFormat="1" applyFont="1" applyFill="1" applyAlignment="1">
      <alignment horizontal="center" wrapText="1"/>
    </xf>
    <xf numFmtId="2" fontId="22" fillId="156" borderId="0" xfId="0" applyNumberFormat="1" applyFont="1" applyFill="1" applyAlignment="1">
      <alignment horizontal="center" wrapText="1"/>
    </xf>
    <xf numFmtId="2" fontId="22" fillId="157" borderId="0" xfId="0" applyNumberFormat="1" applyFont="1" applyFill="1" applyAlignment="1">
      <alignment horizontal="center" wrapText="1"/>
    </xf>
    <xf numFmtId="2" fontId="22" fillId="158" borderId="0" xfId="0" applyNumberFormat="1" applyFont="1" applyFill="1" applyAlignment="1">
      <alignment horizontal="center" wrapText="1"/>
    </xf>
    <xf numFmtId="2" fontId="22" fillId="159" borderId="0" xfId="0" applyNumberFormat="1" applyFont="1" applyFill="1" applyAlignment="1">
      <alignment horizontal="center" wrapText="1"/>
    </xf>
    <xf numFmtId="2" fontId="22" fillId="160" borderId="0" xfId="0" applyNumberFormat="1" applyFont="1" applyFill="1" applyAlignment="1">
      <alignment horizontal="center" wrapText="1"/>
    </xf>
    <xf numFmtId="2" fontId="22" fillId="161" borderId="0" xfId="0" applyNumberFormat="1" applyFont="1" applyFill="1" applyAlignment="1">
      <alignment horizontal="center" wrapText="1"/>
    </xf>
    <xf numFmtId="2" fontId="22" fillId="162" borderId="0" xfId="0" applyNumberFormat="1" applyFont="1" applyFill="1" applyAlignment="1">
      <alignment horizontal="center" wrapText="1"/>
    </xf>
    <xf numFmtId="2" fontId="22" fillId="163" borderId="0" xfId="0" applyNumberFormat="1" applyFont="1" applyFill="1" applyAlignment="1">
      <alignment horizontal="center" wrapText="1"/>
    </xf>
    <xf numFmtId="2" fontId="22" fillId="164" borderId="0" xfId="0" applyNumberFormat="1" applyFont="1" applyFill="1" applyAlignment="1">
      <alignment horizontal="center" wrapText="1"/>
    </xf>
    <xf numFmtId="2" fontId="22" fillId="165" borderId="0" xfId="0" applyNumberFormat="1" applyFont="1" applyFill="1" applyAlignment="1">
      <alignment horizontal="center" wrapText="1"/>
    </xf>
    <xf numFmtId="2" fontId="22" fillId="166" borderId="0" xfId="0" applyNumberFormat="1" applyFont="1" applyFill="1" applyAlignment="1">
      <alignment horizontal="center" wrapText="1"/>
    </xf>
    <xf numFmtId="2" fontId="22" fillId="167" borderId="0" xfId="0" applyNumberFormat="1" applyFont="1" applyFill="1" applyAlignment="1">
      <alignment horizontal="center" wrapText="1"/>
    </xf>
    <xf numFmtId="2" fontId="22" fillId="168" borderId="0" xfId="0" applyNumberFormat="1" applyFont="1" applyFill="1" applyAlignment="1">
      <alignment horizontal="center" wrapText="1"/>
    </xf>
    <xf numFmtId="2" fontId="22" fillId="169" borderId="0" xfId="0" applyNumberFormat="1" applyFont="1" applyFill="1" applyAlignment="1">
      <alignment horizontal="center" wrapText="1"/>
    </xf>
    <xf numFmtId="2" fontId="22" fillId="170" borderId="0" xfId="0" applyNumberFormat="1" applyFont="1" applyFill="1" applyAlignment="1">
      <alignment horizontal="center" wrapText="1"/>
    </xf>
    <xf numFmtId="2" fontId="22" fillId="171" borderId="0" xfId="0" applyNumberFormat="1" applyFont="1" applyFill="1" applyAlignment="1">
      <alignment horizontal="center" wrapText="1"/>
    </xf>
    <xf numFmtId="2" fontId="22" fillId="172" borderId="0" xfId="0" applyNumberFormat="1" applyFont="1" applyFill="1" applyAlignment="1">
      <alignment horizontal="center" wrapText="1"/>
    </xf>
    <xf numFmtId="2" fontId="22" fillId="173" borderId="0" xfId="0" applyNumberFormat="1" applyFont="1" applyFill="1" applyAlignment="1">
      <alignment horizontal="center" wrapText="1"/>
    </xf>
    <xf numFmtId="2" fontId="22" fillId="174" borderId="0" xfId="0" applyNumberFormat="1" applyFont="1" applyFill="1" applyAlignment="1">
      <alignment horizontal="center" wrapText="1"/>
    </xf>
    <xf numFmtId="2" fontId="22" fillId="175" borderId="0" xfId="0" applyNumberFormat="1" applyFont="1" applyFill="1" applyAlignment="1">
      <alignment horizontal="center" wrapText="1"/>
    </xf>
    <xf numFmtId="2" fontId="22" fillId="176" borderId="0" xfId="0" applyNumberFormat="1" applyFont="1" applyFill="1" applyAlignment="1">
      <alignment horizontal="center" wrapText="1"/>
    </xf>
    <xf numFmtId="2" fontId="22" fillId="177" borderId="0" xfId="0" applyNumberFormat="1" applyFont="1" applyFill="1" applyAlignment="1">
      <alignment horizontal="center" wrapText="1"/>
    </xf>
    <xf numFmtId="2" fontId="22" fillId="178" borderId="0" xfId="0" applyNumberFormat="1" applyFont="1" applyFill="1" applyAlignment="1">
      <alignment horizontal="center" wrapText="1"/>
    </xf>
    <xf numFmtId="2" fontId="22" fillId="179" borderId="0" xfId="0" applyNumberFormat="1" applyFont="1" applyFill="1" applyAlignment="1">
      <alignment horizontal="center" wrapText="1"/>
    </xf>
    <xf numFmtId="2" fontId="22" fillId="180" borderId="0" xfId="0" applyNumberFormat="1" applyFont="1" applyFill="1" applyAlignment="1">
      <alignment horizontal="center" wrapText="1"/>
    </xf>
    <xf numFmtId="2" fontId="22" fillId="181" borderId="0" xfId="0" applyNumberFormat="1" applyFont="1" applyFill="1" applyAlignment="1">
      <alignment horizontal="center" wrapText="1"/>
    </xf>
    <xf numFmtId="2" fontId="22" fillId="182" borderId="0" xfId="0" applyNumberFormat="1" applyFont="1" applyFill="1" applyAlignment="1">
      <alignment horizontal="center" wrapText="1"/>
    </xf>
    <xf numFmtId="2" fontId="22" fillId="183" borderId="0" xfId="0" applyNumberFormat="1" applyFont="1" applyFill="1" applyAlignment="1">
      <alignment horizontal="center" wrapText="1"/>
    </xf>
    <xf numFmtId="2" fontId="22" fillId="184" borderId="0" xfId="0" applyNumberFormat="1" applyFont="1" applyFill="1" applyAlignment="1">
      <alignment horizontal="center" wrapText="1"/>
    </xf>
    <xf numFmtId="2" fontId="22" fillId="185" borderId="0" xfId="0" applyNumberFormat="1" applyFont="1" applyFill="1" applyAlignment="1">
      <alignment horizontal="center" wrapText="1"/>
    </xf>
    <xf numFmtId="2" fontId="22" fillId="186" borderId="0" xfId="0" applyNumberFormat="1" applyFont="1" applyFill="1" applyAlignment="1">
      <alignment horizontal="center" wrapText="1"/>
    </xf>
    <xf numFmtId="2" fontId="22" fillId="187" borderId="0" xfId="0" applyNumberFormat="1" applyFont="1" applyFill="1" applyAlignment="1">
      <alignment horizontal="center" wrapText="1"/>
    </xf>
    <xf numFmtId="2" fontId="22" fillId="188" borderId="0" xfId="0" applyNumberFormat="1" applyFont="1" applyFill="1" applyAlignment="1">
      <alignment horizontal="center" wrapText="1"/>
    </xf>
    <xf numFmtId="2" fontId="22" fillId="189" borderId="0" xfId="0" applyNumberFormat="1" applyFont="1" applyFill="1" applyAlignment="1">
      <alignment horizontal="center" wrapText="1"/>
    </xf>
    <xf numFmtId="2" fontId="22" fillId="190" borderId="0" xfId="0" applyNumberFormat="1" applyFont="1" applyFill="1" applyAlignment="1">
      <alignment horizontal="center" wrapText="1"/>
    </xf>
    <xf numFmtId="2" fontId="22" fillId="191" borderId="0" xfId="0" applyNumberFormat="1" applyFont="1" applyFill="1" applyAlignment="1">
      <alignment horizontal="center" wrapText="1"/>
    </xf>
    <xf numFmtId="2" fontId="22" fillId="192" borderId="0" xfId="0" applyNumberFormat="1" applyFont="1" applyFill="1" applyAlignment="1">
      <alignment horizontal="center" wrapText="1"/>
    </xf>
    <xf numFmtId="2" fontId="22" fillId="193" borderId="0" xfId="0" applyNumberFormat="1" applyFont="1" applyFill="1" applyAlignment="1">
      <alignment horizontal="center" wrapText="1"/>
    </xf>
    <xf numFmtId="2" fontId="22" fillId="194" borderId="0" xfId="0" applyNumberFormat="1" applyFont="1" applyFill="1" applyAlignment="1">
      <alignment horizontal="center" wrapText="1"/>
    </xf>
    <xf numFmtId="2" fontId="22" fillId="195" borderId="0" xfId="0" applyNumberFormat="1" applyFont="1" applyFill="1" applyAlignment="1">
      <alignment horizontal="center" wrapText="1"/>
    </xf>
    <xf numFmtId="2" fontId="22" fillId="196" borderId="0" xfId="0" applyNumberFormat="1" applyFont="1" applyFill="1" applyAlignment="1">
      <alignment horizontal="center" wrapText="1"/>
    </xf>
    <xf numFmtId="2" fontId="22" fillId="197" borderId="0" xfId="0" applyNumberFormat="1" applyFont="1" applyFill="1" applyAlignment="1">
      <alignment horizontal="center" wrapText="1"/>
    </xf>
    <xf numFmtId="2" fontId="22" fillId="198" borderId="0" xfId="0" applyNumberFormat="1" applyFont="1" applyFill="1" applyAlignment="1">
      <alignment horizontal="center" wrapText="1"/>
    </xf>
    <xf numFmtId="2" fontId="22" fillId="199" borderId="0" xfId="0" applyNumberFormat="1" applyFont="1" applyFill="1" applyAlignment="1">
      <alignment horizontal="center" wrapText="1"/>
    </xf>
    <xf numFmtId="2" fontId="22" fillId="200" borderId="0" xfId="0" applyNumberFormat="1" applyFont="1" applyFill="1" applyAlignment="1">
      <alignment horizontal="center" wrapText="1"/>
    </xf>
    <xf numFmtId="2" fontId="22" fillId="201" borderId="0" xfId="0" applyNumberFormat="1" applyFont="1" applyFill="1" applyAlignment="1">
      <alignment horizontal="center" wrapText="1"/>
    </xf>
    <xf numFmtId="2" fontId="22" fillId="202" borderId="0" xfId="0" applyNumberFormat="1" applyFont="1" applyFill="1" applyAlignment="1">
      <alignment horizontal="center" wrapText="1"/>
    </xf>
    <xf numFmtId="2" fontId="22" fillId="203" borderId="0" xfId="0" applyNumberFormat="1" applyFont="1" applyFill="1" applyAlignment="1">
      <alignment horizontal="center" wrapText="1"/>
    </xf>
    <xf numFmtId="2" fontId="22" fillId="204" borderId="0" xfId="0" applyNumberFormat="1" applyFont="1" applyFill="1" applyAlignment="1">
      <alignment horizontal="center" wrapText="1"/>
    </xf>
    <xf numFmtId="2" fontId="22" fillId="205" borderId="0" xfId="0" applyNumberFormat="1" applyFont="1" applyFill="1" applyAlignment="1">
      <alignment horizontal="center" wrapText="1"/>
    </xf>
    <xf numFmtId="2" fontId="22" fillId="206" borderId="0" xfId="0" applyNumberFormat="1" applyFont="1" applyFill="1" applyAlignment="1">
      <alignment horizontal="center" wrapText="1"/>
    </xf>
    <xf numFmtId="2" fontId="22" fillId="207" borderId="0" xfId="0" applyNumberFormat="1" applyFont="1" applyFill="1" applyAlignment="1">
      <alignment horizontal="center" wrapText="1"/>
    </xf>
    <xf numFmtId="2" fontId="22" fillId="208" borderId="0" xfId="0" applyNumberFormat="1" applyFont="1" applyFill="1" applyAlignment="1">
      <alignment horizontal="center" wrapText="1"/>
    </xf>
    <xf numFmtId="2" fontId="22" fillId="209" borderId="0" xfId="0" applyNumberFormat="1" applyFont="1" applyFill="1" applyAlignment="1">
      <alignment horizontal="center" wrapText="1"/>
    </xf>
    <xf numFmtId="2" fontId="22" fillId="210" borderId="0" xfId="0" applyNumberFormat="1" applyFont="1" applyFill="1" applyAlignment="1">
      <alignment horizontal="center" wrapText="1"/>
    </xf>
    <xf numFmtId="2" fontId="22" fillId="211" borderId="0" xfId="0" applyNumberFormat="1" applyFont="1" applyFill="1" applyAlignment="1">
      <alignment horizontal="center" wrapText="1"/>
    </xf>
    <xf numFmtId="2" fontId="22" fillId="212" borderId="0" xfId="0" applyNumberFormat="1" applyFont="1" applyFill="1" applyAlignment="1">
      <alignment horizontal="center" wrapText="1"/>
    </xf>
    <xf numFmtId="2" fontId="22" fillId="213" borderId="0" xfId="0" applyNumberFormat="1" applyFont="1" applyFill="1" applyAlignment="1">
      <alignment horizontal="center" wrapText="1"/>
    </xf>
    <xf numFmtId="2" fontId="22" fillId="214" borderId="0" xfId="0" applyNumberFormat="1" applyFont="1" applyFill="1" applyAlignment="1">
      <alignment horizontal="center" wrapText="1"/>
    </xf>
    <xf numFmtId="2" fontId="22" fillId="215" borderId="0" xfId="0" applyNumberFormat="1" applyFont="1" applyFill="1" applyAlignment="1">
      <alignment horizontal="center" wrapText="1"/>
    </xf>
    <xf numFmtId="2" fontId="22" fillId="216" borderId="0" xfId="0" applyNumberFormat="1" applyFont="1" applyFill="1" applyAlignment="1">
      <alignment horizontal="center" wrapText="1"/>
    </xf>
    <xf numFmtId="2" fontId="22" fillId="217" borderId="0" xfId="0" applyNumberFormat="1" applyFont="1" applyFill="1" applyAlignment="1">
      <alignment horizontal="center" wrapText="1"/>
    </xf>
    <xf numFmtId="2" fontId="22" fillId="218" borderId="0" xfId="0" applyNumberFormat="1" applyFont="1" applyFill="1" applyAlignment="1">
      <alignment horizontal="center" wrapText="1"/>
    </xf>
    <xf numFmtId="2" fontId="22" fillId="219" borderId="0" xfId="0" applyNumberFormat="1" applyFont="1" applyFill="1" applyAlignment="1">
      <alignment horizontal="center" wrapText="1"/>
    </xf>
    <xf numFmtId="2" fontId="22" fillId="220" borderId="0" xfId="0" applyNumberFormat="1" applyFont="1" applyFill="1" applyAlignment="1">
      <alignment horizontal="center" wrapText="1"/>
    </xf>
    <xf numFmtId="2" fontId="22" fillId="221" borderId="0" xfId="0" applyNumberFormat="1" applyFont="1" applyFill="1" applyAlignment="1">
      <alignment horizontal="center" wrapText="1"/>
    </xf>
    <xf numFmtId="2" fontId="22" fillId="222" borderId="0" xfId="0" applyNumberFormat="1" applyFont="1" applyFill="1" applyAlignment="1">
      <alignment horizontal="center" wrapText="1"/>
    </xf>
    <xf numFmtId="2" fontId="22" fillId="223" borderId="0" xfId="0" applyNumberFormat="1" applyFont="1" applyFill="1" applyAlignment="1">
      <alignment horizontal="center" wrapText="1"/>
    </xf>
    <xf numFmtId="2" fontId="22" fillId="224" borderId="0" xfId="0" applyNumberFormat="1" applyFont="1" applyFill="1" applyAlignment="1">
      <alignment horizontal="center" wrapText="1"/>
    </xf>
    <xf numFmtId="2" fontId="22" fillId="225" borderId="0" xfId="0" applyNumberFormat="1" applyFont="1" applyFill="1" applyAlignment="1">
      <alignment horizontal="center" wrapText="1"/>
    </xf>
    <xf numFmtId="2" fontId="22" fillId="226" borderId="0" xfId="0" applyNumberFormat="1" applyFont="1" applyFill="1" applyAlignment="1">
      <alignment horizontal="center" wrapText="1"/>
    </xf>
    <xf numFmtId="2" fontId="22" fillId="227" borderId="0" xfId="0" applyNumberFormat="1" applyFont="1" applyFill="1" applyAlignment="1">
      <alignment horizontal="center" wrapText="1"/>
    </xf>
    <xf numFmtId="2" fontId="22" fillId="228" borderId="0" xfId="0" applyNumberFormat="1" applyFont="1" applyFill="1" applyAlignment="1">
      <alignment horizontal="center" wrapText="1"/>
    </xf>
    <xf numFmtId="2" fontId="22" fillId="229" borderId="0" xfId="0" applyNumberFormat="1" applyFont="1" applyFill="1" applyAlignment="1">
      <alignment horizontal="center" wrapText="1"/>
    </xf>
    <xf numFmtId="2" fontId="22" fillId="230" borderId="0" xfId="0" applyNumberFormat="1" applyFont="1" applyFill="1" applyAlignment="1">
      <alignment horizontal="center" wrapText="1"/>
    </xf>
    <xf numFmtId="2" fontId="22" fillId="231" borderId="0" xfId="0" applyNumberFormat="1" applyFont="1" applyFill="1" applyAlignment="1">
      <alignment horizontal="center" wrapText="1"/>
    </xf>
    <xf numFmtId="2" fontId="22" fillId="232" borderId="0" xfId="0" applyNumberFormat="1" applyFont="1" applyFill="1" applyAlignment="1">
      <alignment horizontal="center" wrapText="1"/>
    </xf>
    <xf numFmtId="2" fontId="22" fillId="233" borderId="0" xfId="0" applyNumberFormat="1" applyFont="1" applyFill="1" applyAlignment="1">
      <alignment horizontal="center" wrapText="1"/>
    </xf>
    <xf numFmtId="2" fontId="22" fillId="234" borderId="0" xfId="0" applyNumberFormat="1" applyFont="1" applyFill="1" applyAlignment="1">
      <alignment horizontal="center" wrapText="1"/>
    </xf>
    <xf numFmtId="2" fontId="22" fillId="235" borderId="0" xfId="0" applyNumberFormat="1" applyFont="1" applyFill="1" applyAlignment="1">
      <alignment horizontal="center" wrapText="1"/>
    </xf>
    <xf numFmtId="2" fontId="22" fillId="236" borderId="0" xfId="0" applyNumberFormat="1" applyFont="1" applyFill="1" applyAlignment="1">
      <alignment horizontal="center" wrapText="1"/>
    </xf>
    <xf numFmtId="2" fontId="22" fillId="237" borderId="0" xfId="0" applyNumberFormat="1" applyFont="1" applyFill="1" applyAlignment="1">
      <alignment horizontal="center" wrapText="1"/>
    </xf>
    <xf numFmtId="2" fontId="22" fillId="238" borderId="0" xfId="0" applyNumberFormat="1" applyFont="1" applyFill="1" applyAlignment="1">
      <alignment horizontal="center" wrapText="1"/>
    </xf>
    <xf numFmtId="2" fontId="22" fillId="239" borderId="0" xfId="0" applyNumberFormat="1" applyFont="1" applyFill="1" applyAlignment="1">
      <alignment horizontal="center" wrapText="1"/>
    </xf>
    <xf numFmtId="2" fontId="22" fillId="240" borderId="0" xfId="0" applyNumberFormat="1" applyFont="1" applyFill="1" applyAlignment="1">
      <alignment horizontal="center" wrapText="1"/>
    </xf>
    <xf numFmtId="2" fontId="22" fillId="241" borderId="0" xfId="0" applyNumberFormat="1" applyFont="1" applyFill="1" applyAlignment="1">
      <alignment horizontal="center" wrapText="1"/>
    </xf>
    <xf numFmtId="2" fontId="22" fillId="242" borderId="0" xfId="0" applyNumberFormat="1" applyFont="1" applyFill="1" applyAlignment="1">
      <alignment horizontal="center" wrapText="1"/>
    </xf>
    <xf numFmtId="2" fontId="22" fillId="243" borderId="0" xfId="0" applyNumberFormat="1" applyFont="1" applyFill="1" applyAlignment="1">
      <alignment horizontal="center" wrapText="1"/>
    </xf>
    <xf numFmtId="2" fontId="22" fillId="244" borderId="0" xfId="0" applyNumberFormat="1" applyFont="1" applyFill="1" applyAlignment="1">
      <alignment horizontal="center" wrapText="1"/>
    </xf>
    <xf numFmtId="2" fontId="22" fillId="245" borderId="0" xfId="0" applyNumberFormat="1" applyFont="1" applyFill="1" applyAlignment="1">
      <alignment horizontal="center" wrapText="1"/>
    </xf>
    <xf numFmtId="2" fontId="22" fillId="246" borderId="0" xfId="0" applyNumberFormat="1" applyFont="1" applyFill="1" applyAlignment="1">
      <alignment horizontal="center" wrapText="1"/>
    </xf>
    <xf numFmtId="2" fontId="22" fillId="247" borderId="0" xfId="0" applyNumberFormat="1" applyFont="1" applyFill="1" applyAlignment="1">
      <alignment horizontal="center" wrapText="1"/>
    </xf>
    <xf numFmtId="2" fontId="22" fillId="248" borderId="0" xfId="0" applyNumberFormat="1" applyFont="1" applyFill="1" applyAlignment="1">
      <alignment horizontal="center" wrapText="1"/>
    </xf>
    <xf numFmtId="2" fontId="22" fillId="249" borderId="0" xfId="0" applyNumberFormat="1" applyFont="1" applyFill="1" applyAlignment="1">
      <alignment horizontal="center" wrapText="1"/>
    </xf>
    <xf numFmtId="2" fontId="22" fillId="250" borderId="0" xfId="0" applyNumberFormat="1" applyFont="1" applyFill="1" applyAlignment="1">
      <alignment horizontal="center" wrapText="1"/>
    </xf>
    <xf numFmtId="2" fontId="22" fillId="251" borderId="0" xfId="0" applyNumberFormat="1" applyFont="1" applyFill="1" applyAlignment="1">
      <alignment horizontal="center" wrapText="1"/>
    </xf>
    <xf numFmtId="2" fontId="22" fillId="252" borderId="0" xfId="0" applyNumberFormat="1" applyFont="1" applyFill="1" applyAlignment="1">
      <alignment horizontal="center" wrapText="1"/>
    </xf>
    <xf numFmtId="2" fontId="22" fillId="253" borderId="0" xfId="0" applyNumberFormat="1" applyFont="1" applyFill="1" applyAlignment="1">
      <alignment horizontal="center" wrapText="1"/>
    </xf>
    <xf numFmtId="2" fontId="22" fillId="254" borderId="0" xfId="0" applyNumberFormat="1" applyFont="1" applyFill="1" applyAlignment="1">
      <alignment horizontal="center" wrapText="1"/>
    </xf>
    <xf numFmtId="2" fontId="22" fillId="255" borderId="0" xfId="0" applyNumberFormat="1" applyFont="1" applyFill="1" applyAlignment="1">
      <alignment horizontal="center" wrapText="1"/>
    </xf>
    <xf numFmtId="2" fontId="22" fillId="256" borderId="0" xfId="0" applyNumberFormat="1" applyFont="1" applyFill="1" applyAlignment="1">
      <alignment horizontal="center" wrapText="1"/>
    </xf>
    <xf numFmtId="2" fontId="22" fillId="257" borderId="0" xfId="0" applyNumberFormat="1" applyFont="1" applyFill="1" applyAlignment="1">
      <alignment horizontal="center" wrapText="1"/>
    </xf>
    <xf numFmtId="2" fontId="22" fillId="258" borderId="0" xfId="0" applyNumberFormat="1" applyFont="1" applyFill="1" applyAlignment="1">
      <alignment horizontal="center" wrapText="1"/>
    </xf>
    <xf numFmtId="2" fontId="22" fillId="259" borderId="0" xfId="0" applyNumberFormat="1" applyFont="1" applyFill="1" applyAlignment="1">
      <alignment horizontal="center" wrapText="1"/>
    </xf>
    <xf numFmtId="2" fontId="22" fillId="260" borderId="0" xfId="0" applyNumberFormat="1" applyFont="1" applyFill="1" applyAlignment="1">
      <alignment horizontal="center" wrapText="1"/>
    </xf>
    <xf numFmtId="2" fontId="22" fillId="261" borderId="0" xfId="0" applyNumberFormat="1" applyFont="1" applyFill="1" applyAlignment="1">
      <alignment horizontal="center" wrapText="1"/>
    </xf>
    <xf numFmtId="2" fontId="22" fillId="262" borderId="0" xfId="0" applyNumberFormat="1" applyFont="1" applyFill="1" applyAlignment="1">
      <alignment horizontal="center" wrapText="1"/>
    </xf>
    <xf numFmtId="2" fontId="22" fillId="263" borderId="0" xfId="0" applyNumberFormat="1" applyFont="1" applyFill="1" applyAlignment="1">
      <alignment horizontal="center" wrapText="1"/>
    </xf>
    <xf numFmtId="2" fontId="22" fillId="264" borderId="0" xfId="0" applyNumberFormat="1" applyFont="1" applyFill="1" applyAlignment="1">
      <alignment horizontal="center" wrapText="1"/>
    </xf>
    <xf numFmtId="2" fontId="22" fillId="265" borderId="0" xfId="0" applyNumberFormat="1" applyFont="1" applyFill="1" applyAlignment="1">
      <alignment horizontal="center" wrapText="1"/>
    </xf>
    <xf numFmtId="2" fontId="22" fillId="266" borderId="0" xfId="0" applyNumberFormat="1" applyFont="1" applyFill="1" applyAlignment="1">
      <alignment horizontal="center" wrapText="1"/>
    </xf>
    <xf numFmtId="2" fontId="22" fillId="267" borderId="0" xfId="0" applyNumberFormat="1" applyFont="1" applyFill="1" applyAlignment="1">
      <alignment horizontal="center" wrapText="1"/>
    </xf>
    <xf numFmtId="2" fontId="22" fillId="268" borderId="0" xfId="0" applyNumberFormat="1" applyFont="1" applyFill="1" applyAlignment="1">
      <alignment horizontal="center" wrapText="1"/>
    </xf>
    <xf numFmtId="2" fontId="22" fillId="269" borderId="0" xfId="0" applyNumberFormat="1" applyFont="1" applyFill="1" applyAlignment="1">
      <alignment horizontal="center" wrapText="1"/>
    </xf>
    <xf numFmtId="2" fontId="22" fillId="270" borderId="0" xfId="0" applyNumberFormat="1" applyFont="1" applyFill="1" applyAlignment="1">
      <alignment horizontal="center" wrapText="1"/>
    </xf>
    <xf numFmtId="2" fontId="22" fillId="271" borderId="0" xfId="0" applyNumberFormat="1" applyFont="1" applyFill="1" applyAlignment="1">
      <alignment horizontal="center" wrapText="1"/>
    </xf>
    <xf numFmtId="2" fontId="22" fillId="272" borderId="0" xfId="0" applyNumberFormat="1" applyFont="1" applyFill="1" applyAlignment="1">
      <alignment horizontal="center" wrapText="1"/>
    </xf>
    <xf numFmtId="2" fontId="22" fillId="273" borderId="0" xfId="0" applyNumberFormat="1" applyFont="1" applyFill="1" applyAlignment="1">
      <alignment horizontal="center" wrapText="1"/>
    </xf>
    <xf numFmtId="2" fontId="22" fillId="274" borderId="0" xfId="0" applyNumberFormat="1" applyFont="1" applyFill="1" applyAlignment="1">
      <alignment horizontal="center" wrapText="1"/>
    </xf>
    <xf numFmtId="2" fontId="22" fillId="275" borderId="0" xfId="0" applyNumberFormat="1" applyFont="1" applyFill="1" applyAlignment="1">
      <alignment horizontal="center" wrapText="1"/>
    </xf>
    <xf numFmtId="2" fontId="22" fillId="276" borderId="0" xfId="0" applyNumberFormat="1" applyFont="1" applyFill="1" applyAlignment="1">
      <alignment horizontal="center" wrapText="1"/>
    </xf>
    <xf numFmtId="2" fontId="22" fillId="277" borderId="0" xfId="0" applyNumberFormat="1" applyFont="1" applyFill="1" applyAlignment="1">
      <alignment horizontal="center" wrapText="1"/>
    </xf>
    <xf numFmtId="2" fontId="22" fillId="278" borderId="0" xfId="0" applyNumberFormat="1" applyFont="1" applyFill="1" applyAlignment="1">
      <alignment horizontal="center" wrapText="1"/>
    </xf>
    <xf numFmtId="2" fontId="22" fillId="279" borderId="0" xfId="0" applyNumberFormat="1" applyFont="1" applyFill="1" applyAlignment="1">
      <alignment horizontal="center" wrapText="1"/>
    </xf>
    <xf numFmtId="2" fontId="22" fillId="280" borderId="0" xfId="0" applyNumberFormat="1" applyFont="1" applyFill="1" applyAlignment="1">
      <alignment horizontal="center" wrapText="1"/>
    </xf>
    <xf numFmtId="2" fontId="22" fillId="281" borderId="0" xfId="0" applyNumberFormat="1" applyFont="1" applyFill="1" applyAlignment="1">
      <alignment horizontal="center" wrapText="1"/>
    </xf>
    <xf numFmtId="2" fontId="22" fillId="282" borderId="0" xfId="0" applyNumberFormat="1" applyFont="1" applyFill="1" applyAlignment="1">
      <alignment horizontal="center" wrapText="1"/>
    </xf>
    <xf numFmtId="2" fontId="22" fillId="283" borderId="0" xfId="0" applyNumberFormat="1" applyFont="1" applyFill="1" applyAlignment="1">
      <alignment horizontal="center" wrapText="1"/>
    </xf>
    <xf numFmtId="2" fontId="22" fillId="284" borderId="0" xfId="0" applyNumberFormat="1" applyFont="1" applyFill="1" applyAlignment="1">
      <alignment horizontal="center" wrapText="1"/>
    </xf>
    <xf numFmtId="2" fontId="22" fillId="285" borderId="0" xfId="0" applyNumberFormat="1" applyFont="1" applyFill="1" applyAlignment="1">
      <alignment horizontal="center" wrapText="1"/>
    </xf>
    <xf numFmtId="2" fontId="22" fillId="286" borderId="0" xfId="0" applyNumberFormat="1" applyFont="1" applyFill="1" applyAlignment="1">
      <alignment horizontal="center" wrapText="1"/>
    </xf>
    <xf numFmtId="2" fontId="22" fillId="287" borderId="0" xfId="0" applyNumberFormat="1" applyFont="1" applyFill="1" applyAlignment="1">
      <alignment horizontal="center" wrapText="1"/>
    </xf>
    <xf numFmtId="2" fontId="22" fillId="288" borderId="0" xfId="0" applyNumberFormat="1" applyFont="1" applyFill="1" applyAlignment="1">
      <alignment horizontal="center" wrapText="1"/>
    </xf>
    <xf numFmtId="2" fontId="22" fillId="289" borderId="0" xfId="0" applyNumberFormat="1" applyFont="1" applyFill="1" applyAlignment="1">
      <alignment horizontal="center" wrapText="1"/>
    </xf>
    <xf numFmtId="2" fontId="22" fillId="290" borderId="0" xfId="0" applyNumberFormat="1" applyFont="1" applyFill="1" applyAlignment="1">
      <alignment horizontal="center" wrapText="1"/>
    </xf>
    <xf numFmtId="2" fontId="22" fillId="291" borderId="0" xfId="0" applyNumberFormat="1" applyFont="1" applyFill="1" applyAlignment="1">
      <alignment horizontal="center" wrapText="1"/>
    </xf>
    <xf numFmtId="2" fontId="22" fillId="292" borderId="0" xfId="0" applyNumberFormat="1" applyFont="1" applyFill="1" applyAlignment="1">
      <alignment horizontal="center" wrapText="1"/>
    </xf>
    <xf numFmtId="2" fontId="22" fillId="293" borderId="0" xfId="0" applyNumberFormat="1" applyFont="1" applyFill="1" applyAlignment="1">
      <alignment horizontal="center" wrapText="1"/>
    </xf>
    <xf numFmtId="2" fontId="22" fillId="294" borderId="0" xfId="0" applyNumberFormat="1" applyFont="1" applyFill="1" applyAlignment="1">
      <alignment horizontal="center" wrapText="1"/>
    </xf>
    <xf numFmtId="2" fontId="22" fillId="295" borderId="0" xfId="0" applyNumberFormat="1" applyFont="1" applyFill="1" applyAlignment="1">
      <alignment horizontal="center" wrapText="1"/>
    </xf>
    <xf numFmtId="2" fontId="22" fillId="296" borderId="0" xfId="0" applyNumberFormat="1" applyFont="1" applyFill="1" applyAlignment="1">
      <alignment horizontal="center" wrapText="1"/>
    </xf>
    <xf numFmtId="2" fontId="22" fillId="297" borderId="0" xfId="0" applyNumberFormat="1" applyFont="1" applyFill="1" applyAlignment="1">
      <alignment horizontal="center" wrapText="1"/>
    </xf>
    <xf numFmtId="2" fontId="22" fillId="298" borderId="0" xfId="0" applyNumberFormat="1" applyFont="1" applyFill="1" applyAlignment="1">
      <alignment horizontal="center" wrapText="1"/>
    </xf>
    <xf numFmtId="2" fontId="22" fillId="299" borderId="0" xfId="0" applyNumberFormat="1" applyFont="1" applyFill="1" applyAlignment="1">
      <alignment horizontal="center" wrapText="1"/>
    </xf>
    <xf numFmtId="2" fontId="22" fillId="300" borderId="0" xfId="0" applyNumberFormat="1" applyFont="1" applyFill="1" applyAlignment="1">
      <alignment horizontal="center" wrapText="1"/>
    </xf>
    <xf numFmtId="2" fontId="22" fillId="301" borderId="0" xfId="0" applyNumberFormat="1" applyFont="1" applyFill="1" applyAlignment="1">
      <alignment horizontal="center" wrapText="1"/>
    </xf>
    <xf numFmtId="2" fontId="22" fillId="302" borderId="0" xfId="0" applyNumberFormat="1" applyFont="1" applyFill="1" applyAlignment="1">
      <alignment horizontal="center" wrapText="1"/>
    </xf>
    <xf numFmtId="2" fontId="22" fillId="303" borderId="0" xfId="0" applyNumberFormat="1" applyFont="1" applyFill="1" applyAlignment="1">
      <alignment horizontal="center" wrapText="1"/>
    </xf>
    <xf numFmtId="2" fontId="22" fillId="304" borderId="0" xfId="0" applyNumberFormat="1" applyFont="1" applyFill="1" applyAlignment="1">
      <alignment horizontal="center" wrapText="1"/>
    </xf>
    <xf numFmtId="2" fontId="22" fillId="305" borderId="0" xfId="0" applyNumberFormat="1" applyFont="1" applyFill="1" applyAlignment="1">
      <alignment horizontal="center" wrapText="1"/>
    </xf>
    <xf numFmtId="2" fontId="22" fillId="306" borderId="0" xfId="0" applyNumberFormat="1" applyFont="1" applyFill="1" applyAlignment="1">
      <alignment horizontal="center" wrapText="1"/>
    </xf>
    <xf numFmtId="2" fontId="22" fillId="307" borderId="0" xfId="0" applyNumberFormat="1" applyFont="1" applyFill="1" applyAlignment="1">
      <alignment horizontal="center" wrapText="1"/>
    </xf>
    <xf numFmtId="2" fontId="22" fillId="308" borderId="0" xfId="0" applyNumberFormat="1" applyFont="1" applyFill="1" applyAlignment="1">
      <alignment horizontal="center" wrapText="1"/>
    </xf>
    <xf numFmtId="2" fontId="22" fillId="309" borderId="0" xfId="0" applyNumberFormat="1" applyFont="1" applyFill="1" applyAlignment="1">
      <alignment horizontal="center" wrapText="1"/>
    </xf>
    <xf numFmtId="2" fontId="22" fillId="310" borderId="0" xfId="0" applyNumberFormat="1" applyFont="1" applyFill="1" applyAlignment="1">
      <alignment horizontal="center" wrapText="1"/>
    </xf>
    <xf numFmtId="2" fontId="22" fillId="311" borderId="0" xfId="0" applyNumberFormat="1" applyFont="1" applyFill="1" applyAlignment="1">
      <alignment horizontal="center" wrapText="1"/>
    </xf>
    <xf numFmtId="2" fontId="22" fillId="312" borderId="0" xfId="0" applyNumberFormat="1" applyFont="1" applyFill="1" applyAlignment="1">
      <alignment horizontal="center" wrapText="1"/>
    </xf>
    <xf numFmtId="2" fontId="22" fillId="313" borderId="0" xfId="0" applyNumberFormat="1" applyFont="1" applyFill="1" applyAlignment="1">
      <alignment horizontal="center" wrapText="1"/>
    </xf>
    <xf numFmtId="2" fontId="22" fillId="314" borderId="0" xfId="0" applyNumberFormat="1" applyFont="1" applyFill="1" applyAlignment="1">
      <alignment horizontal="center" wrapText="1"/>
    </xf>
    <xf numFmtId="2" fontId="22" fillId="315" borderId="0" xfId="0" applyNumberFormat="1" applyFont="1" applyFill="1" applyAlignment="1">
      <alignment horizontal="center" wrapText="1"/>
    </xf>
    <xf numFmtId="2" fontId="22" fillId="316" borderId="0" xfId="0" applyNumberFormat="1" applyFont="1" applyFill="1" applyAlignment="1">
      <alignment horizontal="center" wrapText="1"/>
    </xf>
    <xf numFmtId="2" fontId="22" fillId="317" borderId="0" xfId="0" applyNumberFormat="1" applyFont="1" applyFill="1" applyAlignment="1">
      <alignment horizontal="center" wrapText="1"/>
    </xf>
    <xf numFmtId="2" fontId="22" fillId="318" borderId="0" xfId="0" applyNumberFormat="1" applyFont="1" applyFill="1" applyAlignment="1">
      <alignment horizontal="center" wrapText="1"/>
    </xf>
    <xf numFmtId="2" fontId="22" fillId="319" borderId="0" xfId="0" applyNumberFormat="1" applyFont="1" applyFill="1" applyAlignment="1">
      <alignment horizontal="center" wrapText="1"/>
    </xf>
    <xf numFmtId="2" fontId="22" fillId="320" borderId="0" xfId="0" applyNumberFormat="1" applyFont="1" applyFill="1" applyAlignment="1">
      <alignment horizontal="center" wrapText="1"/>
    </xf>
    <xf numFmtId="2" fontId="22" fillId="321" borderId="0" xfId="0" applyNumberFormat="1" applyFont="1" applyFill="1" applyAlignment="1">
      <alignment horizontal="center" wrapText="1"/>
    </xf>
    <xf numFmtId="2" fontId="22" fillId="322" borderId="0" xfId="0" applyNumberFormat="1" applyFont="1" applyFill="1" applyAlignment="1">
      <alignment horizontal="center" wrapText="1"/>
    </xf>
    <xf numFmtId="2" fontId="22" fillId="323" borderId="0" xfId="0" applyNumberFormat="1" applyFont="1" applyFill="1" applyAlignment="1">
      <alignment horizontal="center" wrapText="1"/>
    </xf>
    <xf numFmtId="2" fontId="22" fillId="324" borderId="0" xfId="0" applyNumberFormat="1" applyFont="1" applyFill="1" applyAlignment="1">
      <alignment horizontal="center" wrapText="1"/>
    </xf>
    <xf numFmtId="2" fontId="22" fillId="325" borderId="0" xfId="0" applyNumberFormat="1" applyFont="1" applyFill="1" applyAlignment="1">
      <alignment horizontal="center" wrapText="1"/>
    </xf>
    <xf numFmtId="2" fontId="22" fillId="326" borderId="0" xfId="0" applyNumberFormat="1" applyFont="1" applyFill="1" applyAlignment="1">
      <alignment horizontal="center" wrapText="1"/>
    </xf>
    <xf numFmtId="2" fontId="22" fillId="327" borderId="0" xfId="0" applyNumberFormat="1" applyFont="1" applyFill="1" applyAlignment="1">
      <alignment horizontal="center" wrapText="1"/>
    </xf>
    <xf numFmtId="2" fontId="22" fillId="328" borderId="0" xfId="0" applyNumberFormat="1" applyFont="1" applyFill="1" applyAlignment="1">
      <alignment horizontal="center" wrapText="1"/>
    </xf>
    <xf numFmtId="2" fontId="22" fillId="329" borderId="0" xfId="0" applyNumberFormat="1" applyFont="1" applyFill="1" applyAlignment="1">
      <alignment horizontal="center" wrapText="1"/>
    </xf>
    <xf numFmtId="2" fontId="22" fillId="330" borderId="0" xfId="0" applyNumberFormat="1" applyFont="1" applyFill="1" applyAlignment="1">
      <alignment horizontal="center" wrapText="1"/>
    </xf>
    <xf numFmtId="2" fontId="22" fillId="331" borderId="0" xfId="0" applyNumberFormat="1" applyFont="1" applyFill="1" applyAlignment="1">
      <alignment horizontal="center" wrapText="1"/>
    </xf>
    <xf numFmtId="2" fontId="22" fillId="332" borderId="0" xfId="0" applyNumberFormat="1" applyFont="1" applyFill="1" applyAlignment="1">
      <alignment horizontal="center" wrapText="1"/>
    </xf>
    <xf numFmtId="2" fontId="22" fillId="333" borderId="0" xfId="0" applyNumberFormat="1" applyFont="1" applyFill="1" applyAlignment="1">
      <alignment horizontal="center" wrapText="1"/>
    </xf>
    <xf numFmtId="2" fontId="22" fillId="334" borderId="0" xfId="0" applyNumberFormat="1" applyFont="1" applyFill="1" applyAlignment="1">
      <alignment horizontal="center" wrapText="1"/>
    </xf>
    <xf numFmtId="2" fontId="22" fillId="335" borderId="0" xfId="0" applyNumberFormat="1" applyFont="1" applyFill="1" applyAlignment="1">
      <alignment horizontal="center" wrapText="1"/>
    </xf>
    <xf numFmtId="2" fontId="22" fillId="336" borderId="0" xfId="0" applyNumberFormat="1" applyFont="1" applyFill="1" applyAlignment="1">
      <alignment horizontal="center" wrapText="1"/>
    </xf>
    <xf numFmtId="2" fontId="22" fillId="337" borderId="0" xfId="0" applyNumberFormat="1" applyFont="1" applyFill="1" applyAlignment="1">
      <alignment horizontal="center" wrapText="1"/>
    </xf>
    <xf numFmtId="2" fontId="22" fillId="338" borderId="0" xfId="0" applyNumberFormat="1" applyFont="1" applyFill="1" applyAlignment="1">
      <alignment horizontal="center" wrapText="1"/>
    </xf>
    <xf numFmtId="2" fontId="22" fillId="339" borderId="0" xfId="0" applyNumberFormat="1" applyFont="1" applyFill="1" applyAlignment="1">
      <alignment horizontal="center" wrapText="1"/>
    </xf>
    <xf numFmtId="2" fontId="22" fillId="340" borderId="0" xfId="0" applyNumberFormat="1" applyFont="1" applyFill="1" applyAlignment="1">
      <alignment horizontal="center" wrapText="1"/>
    </xf>
    <xf numFmtId="2" fontId="22" fillId="341" borderId="0" xfId="0" applyNumberFormat="1" applyFont="1" applyFill="1" applyAlignment="1">
      <alignment horizontal="center" wrapText="1"/>
    </xf>
    <xf numFmtId="2" fontId="22" fillId="342" borderId="0" xfId="0" applyNumberFormat="1" applyFont="1" applyFill="1" applyAlignment="1">
      <alignment horizontal="center" wrapText="1"/>
    </xf>
    <xf numFmtId="2" fontId="22" fillId="343" borderId="0" xfId="0" applyNumberFormat="1" applyFont="1" applyFill="1" applyAlignment="1">
      <alignment horizontal="center" wrapText="1"/>
    </xf>
    <xf numFmtId="2" fontId="22" fillId="344" borderId="0" xfId="0" applyNumberFormat="1" applyFont="1" applyFill="1" applyAlignment="1">
      <alignment horizontal="center" wrapText="1"/>
    </xf>
    <xf numFmtId="2" fontId="22" fillId="345" borderId="0" xfId="0" applyNumberFormat="1" applyFont="1" applyFill="1" applyAlignment="1">
      <alignment horizontal="center" wrapText="1"/>
    </xf>
    <xf numFmtId="2" fontId="22" fillId="346" borderId="0" xfId="0" applyNumberFormat="1" applyFont="1" applyFill="1" applyAlignment="1">
      <alignment horizontal="center" wrapText="1"/>
    </xf>
    <xf numFmtId="2" fontId="22" fillId="347" borderId="0" xfId="0" applyNumberFormat="1" applyFont="1" applyFill="1" applyAlignment="1">
      <alignment horizontal="center" wrapText="1"/>
    </xf>
    <xf numFmtId="2" fontId="22" fillId="348" borderId="0" xfId="0" applyNumberFormat="1" applyFont="1" applyFill="1" applyAlignment="1">
      <alignment horizontal="center" wrapText="1"/>
    </xf>
    <xf numFmtId="2" fontId="22" fillId="349" borderId="0" xfId="0" applyNumberFormat="1" applyFont="1" applyFill="1" applyAlignment="1">
      <alignment horizontal="center" wrapText="1"/>
    </xf>
    <xf numFmtId="2" fontId="22" fillId="350" borderId="0" xfId="0" applyNumberFormat="1" applyFont="1" applyFill="1" applyAlignment="1">
      <alignment horizontal="center" wrapText="1"/>
    </xf>
    <xf numFmtId="2" fontId="22" fillId="351" borderId="0" xfId="0" applyNumberFormat="1" applyFont="1" applyFill="1" applyAlignment="1">
      <alignment horizontal="center" wrapText="1"/>
    </xf>
    <xf numFmtId="2" fontId="22" fillId="352" borderId="0" xfId="0" applyNumberFormat="1" applyFont="1" applyFill="1" applyAlignment="1">
      <alignment horizontal="center" wrapText="1"/>
    </xf>
    <xf numFmtId="2" fontId="22" fillId="353" borderId="0" xfId="0" applyNumberFormat="1" applyFont="1" applyFill="1" applyAlignment="1">
      <alignment horizontal="center" wrapText="1"/>
    </xf>
    <xf numFmtId="2" fontId="22" fillId="354" borderId="0" xfId="0" applyNumberFormat="1" applyFont="1" applyFill="1" applyAlignment="1">
      <alignment horizontal="center" wrapText="1"/>
    </xf>
    <xf numFmtId="2" fontId="22" fillId="355" borderId="0" xfId="0" applyNumberFormat="1" applyFont="1" applyFill="1" applyAlignment="1">
      <alignment horizontal="center" wrapText="1"/>
    </xf>
    <xf numFmtId="2" fontId="22" fillId="356" borderId="0" xfId="0" applyNumberFormat="1" applyFont="1" applyFill="1" applyAlignment="1">
      <alignment horizontal="center" wrapText="1"/>
    </xf>
    <xf numFmtId="2" fontId="22" fillId="357" borderId="0" xfId="0" applyNumberFormat="1" applyFont="1" applyFill="1" applyAlignment="1">
      <alignment horizontal="center" wrapText="1"/>
    </xf>
    <xf numFmtId="2" fontId="22" fillId="358" borderId="0" xfId="0" applyNumberFormat="1" applyFont="1" applyFill="1" applyAlignment="1">
      <alignment horizontal="center" wrapText="1"/>
    </xf>
    <xf numFmtId="2" fontId="22" fillId="359" borderId="0" xfId="0" applyNumberFormat="1" applyFont="1" applyFill="1" applyAlignment="1">
      <alignment horizontal="center" wrapText="1"/>
    </xf>
    <xf numFmtId="2" fontId="22" fillId="360" borderId="0" xfId="0" applyNumberFormat="1" applyFont="1" applyFill="1" applyAlignment="1">
      <alignment horizontal="center" wrapText="1"/>
    </xf>
    <xf numFmtId="2" fontId="22" fillId="361" borderId="0" xfId="0" applyNumberFormat="1" applyFont="1" applyFill="1" applyAlignment="1">
      <alignment horizontal="center" wrapText="1"/>
    </xf>
    <xf numFmtId="2" fontId="22" fillId="362" borderId="0" xfId="0" applyNumberFormat="1" applyFont="1" applyFill="1" applyAlignment="1">
      <alignment horizontal="center" wrapText="1"/>
    </xf>
    <xf numFmtId="2" fontId="22" fillId="363" borderId="0" xfId="0" applyNumberFormat="1" applyFont="1" applyFill="1" applyAlignment="1">
      <alignment horizontal="center" wrapText="1"/>
    </xf>
    <xf numFmtId="2" fontId="22" fillId="364" borderId="0" xfId="0" applyNumberFormat="1" applyFont="1" applyFill="1" applyAlignment="1">
      <alignment horizontal="center" wrapText="1"/>
    </xf>
    <xf numFmtId="2" fontId="22" fillId="365" borderId="0" xfId="0" applyNumberFormat="1" applyFont="1" applyFill="1" applyAlignment="1">
      <alignment horizontal="center" wrapText="1"/>
    </xf>
    <xf numFmtId="2" fontId="22" fillId="366" borderId="0" xfId="0" applyNumberFormat="1" applyFont="1" applyFill="1" applyAlignment="1">
      <alignment horizontal="center" wrapText="1"/>
    </xf>
    <xf numFmtId="2" fontId="22" fillId="367" borderId="0" xfId="0" applyNumberFormat="1" applyFont="1" applyFill="1" applyAlignment="1">
      <alignment horizontal="center" wrapText="1"/>
    </xf>
    <xf numFmtId="2" fontId="22" fillId="368" borderId="0" xfId="0" applyNumberFormat="1" applyFont="1" applyFill="1" applyAlignment="1">
      <alignment horizontal="center" wrapText="1"/>
    </xf>
    <xf numFmtId="2" fontId="22" fillId="369" borderId="0" xfId="0" applyNumberFormat="1" applyFont="1" applyFill="1" applyAlignment="1">
      <alignment horizontal="center" wrapText="1"/>
    </xf>
    <xf numFmtId="2" fontId="22" fillId="370" borderId="0" xfId="0" applyNumberFormat="1" applyFont="1" applyFill="1" applyAlignment="1">
      <alignment horizontal="center" wrapText="1"/>
    </xf>
    <xf numFmtId="2" fontId="22" fillId="371" borderId="0" xfId="0" applyNumberFormat="1" applyFont="1" applyFill="1" applyAlignment="1">
      <alignment horizontal="center" wrapText="1"/>
    </xf>
    <xf numFmtId="2" fontId="22" fillId="372" borderId="0" xfId="0" applyNumberFormat="1" applyFont="1" applyFill="1" applyAlignment="1">
      <alignment horizontal="center" wrapText="1"/>
    </xf>
    <xf numFmtId="2" fontId="22" fillId="373" borderId="0" xfId="0" applyNumberFormat="1" applyFont="1" applyFill="1" applyAlignment="1">
      <alignment horizontal="center" wrapText="1"/>
    </xf>
    <xf numFmtId="2" fontId="22" fillId="374" borderId="0" xfId="0" applyNumberFormat="1" applyFont="1" applyFill="1" applyAlignment="1">
      <alignment horizontal="center" wrapText="1"/>
    </xf>
    <xf numFmtId="2" fontId="22" fillId="375" borderId="0" xfId="0" applyNumberFormat="1" applyFont="1" applyFill="1" applyAlignment="1">
      <alignment horizontal="center" wrapText="1"/>
    </xf>
    <xf numFmtId="2" fontId="22" fillId="376" borderId="0" xfId="0" applyNumberFormat="1" applyFont="1" applyFill="1" applyAlignment="1">
      <alignment horizontal="center" wrapText="1"/>
    </xf>
    <xf numFmtId="2" fontId="22" fillId="377" borderId="0" xfId="0" applyNumberFormat="1" applyFont="1" applyFill="1" applyAlignment="1">
      <alignment horizontal="center" wrapText="1"/>
    </xf>
    <xf numFmtId="2" fontId="22" fillId="378" borderId="0" xfId="0" applyNumberFormat="1" applyFont="1" applyFill="1" applyAlignment="1">
      <alignment horizontal="center" wrapText="1"/>
    </xf>
    <xf numFmtId="2" fontId="22" fillId="379" borderId="0" xfId="0" applyNumberFormat="1" applyFont="1" applyFill="1" applyAlignment="1">
      <alignment horizontal="center" wrapText="1"/>
    </xf>
    <xf numFmtId="2" fontId="22" fillId="380" borderId="0" xfId="0" applyNumberFormat="1" applyFont="1" applyFill="1" applyAlignment="1">
      <alignment horizontal="center" wrapText="1"/>
    </xf>
    <xf numFmtId="2" fontId="22" fillId="381" borderId="0" xfId="0" applyNumberFormat="1" applyFont="1" applyFill="1" applyAlignment="1">
      <alignment horizontal="center" wrapText="1"/>
    </xf>
    <xf numFmtId="2" fontId="22" fillId="382" borderId="0" xfId="0" applyNumberFormat="1" applyFont="1" applyFill="1" applyAlignment="1">
      <alignment horizontal="center" wrapText="1"/>
    </xf>
    <xf numFmtId="2" fontId="22" fillId="383" borderId="0" xfId="0" applyNumberFormat="1" applyFont="1" applyFill="1" applyAlignment="1">
      <alignment horizontal="center" wrapText="1"/>
    </xf>
    <xf numFmtId="2" fontId="22" fillId="384" borderId="0" xfId="0" applyNumberFormat="1" applyFont="1" applyFill="1" applyAlignment="1">
      <alignment horizontal="center" wrapText="1"/>
    </xf>
    <xf numFmtId="2" fontId="22" fillId="385" borderId="0" xfId="0" applyNumberFormat="1" applyFont="1" applyFill="1" applyAlignment="1">
      <alignment horizontal="center" wrapText="1"/>
    </xf>
    <xf numFmtId="2" fontId="22" fillId="386" borderId="0" xfId="0" applyNumberFormat="1" applyFont="1" applyFill="1" applyAlignment="1">
      <alignment horizontal="center" wrapText="1"/>
    </xf>
    <xf numFmtId="2" fontId="22" fillId="387" borderId="0" xfId="0" applyNumberFormat="1" applyFont="1" applyFill="1" applyAlignment="1">
      <alignment horizontal="center" wrapText="1"/>
    </xf>
    <xf numFmtId="2" fontId="22" fillId="388" borderId="0" xfId="0" applyNumberFormat="1" applyFont="1" applyFill="1" applyAlignment="1">
      <alignment horizontal="center" wrapText="1"/>
    </xf>
    <xf numFmtId="2" fontId="22" fillId="389" borderId="0" xfId="0" applyNumberFormat="1" applyFont="1" applyFill="1" applyAlignment="1">
      <alignment horizontal="center" wrapText="1"/>
    </xf>
    <xf numFmtId="2" fontId="22" fillId="390" borderId="0" xfId="0" applyNumberFormat="1" applyFont="1" applyFill="1" applyAlignment="1">
      <alignment horizontal="center" wrapText="1"/>
    </xf>
    <xf numFmtId="2" fontId="22" fillId="391" borderId="0" xfId="0" applyNumberFormat="1" applyFont="1" applyFill="1" applyAlignment="1">
      <alignment horizontal="center" wrapText="1"/>
    </xf>
    <xf numFmtId="2" fontId="22" fillId="392" borderId="0" xfId="0" applyNumberFormat="1" applyFont="1" applyFill="1" applyAlignment="1">
      <alignment horizontal="center" wrapText="1"/>
    </xf>
    <xf numFmtId="2" fontId="22" fillId="393" borderId="0" xfId="0" applyNumberFormat="1" applyFont="1" applyFill="1" applyAlignment="1">
      <alignment horizontal="center" wrapText="1"/>
    </xf>
    <xf numFmtId="2" fontId="22" fillId="394" borderId="0" xfId="0" applyNumberFormat="1" applyFont="1" applyFill="1" applyAlignment="1">
      <alignment horizontal="center" wrapText="1"/>
    </xf>
    <xf numFmtId="2" fontId="22" fillId="395" borderId="0" xfId="0" applyNumberFormat="1" applyFont="1" applyFill="1" applyAlignment="1">
      <alignment horizontal="center" wrapText="1"/>
    </xf>
    <xf numFmtId="2" fontId="22" fillId="396" borderId="0" xfId="0" applyNumberFormat="1" applyFont="1" applyFill="1" applyAlignment="1">
      <alignment horizontal="center" wrapText="1"/>
    </xf>
    <xf numFmtId="2" fontId="22" fillId="397" borderId="0" xfId="0" applyNumberFormat="1" applyFont="1" applyFill="1" applyAlignment="1">
      <alignment horizontal="center" wrapText="1"/>
    </xf>
    <xf numFmtId="2" fontId="22" fillId="398" borderId="0" xfId="0" applyNumberFormat="1" applyFont="1" applyFill="1" applyAlignment="1">
      <alignment horizontal="center" wrapText="1"/>
    </xf>
    <xf numFmtId="2" fontId="22" fillId="399" borderId="0" xfId="0" applyNumberFormat="1" applyFont="1" applyFill="1" applyAlignment="1">
      <alignment horizontal="center" wrapText="1"/>
    </xf>
    <xf numFmtId="2" fontId="22" fillId="400" borderId="0" xfId="0" applyNumberFormat="1" applyFont="1" applyFill="1" applyAlignment="1">
      <alignment horizontal="center" wrapText="1"/>
    </xf>
    <xf numFmtId="2" fontId="22" fillId="401" borderId="0" xfId="0" applyNumberFormat="1" applyFont="1" applyFill="1" applyAlignment="1">
      <alignment horizontal="center" wrapText="1"/>
    </xf>
    <xf numFmtId="2" fontId="22" fillId="402" borderId="0" xfId="0" applyNumberFormat="1" applyFont="1" applyFill="1" applyAlignment="1">
      <alignment horizontal="center" wrapText="1"/>
    </xf>
    <xf numFmtId="2" fontId="22" fillId="403" borderId="0" xfId="0" applyNumberFormat="1" applyFont="1" applyFill="1" applyAlignment="1">
      <alignment horizontal="center" wrapText="1"/>
    </xf>
    <xf numFmtId="2" fontId="22" fillId="404" borderId="0" xfId="0" applyNumberFormat="1" applyFont="1" applyFill="1" applyAlignment="1">
      <alignment horizontal="center" wrapText="1"/>
    </xf>
    <xf numFmtId="2" fontId="22" fillId="405" borderId="0" xfId="0" applyNumberFormat="1" applyFont="1" applyFill="1" applyAlignment="1">
      <alignment horizontal="center" wrapText="1"/>
    </xf>
    <xf numFmtId="2" fontId="22" fillId="406" borderId="0" xfId="0" applyNumberFormat="1" applyFont="1" applyFill="1" applyAlignment="1">
      <alignment horizontal="center" wrapText="1"/>
    </xf>
    <xf numFmtId="2" fontId="22" fillId="407" borderId="0" xfId="0" applyNumberFormat="1" applyFont="1" applyFill="1" applyAlignment="1">
      <alignment horizontal="center" wrapText="1"/>
    </xf>
    <xf numFmtId="2" fontId="22" fillId="408" borderId="0" xfId="0" applyNumberFormat="1" applyFont="1" applyFill="1" applyAlignment="1">
      <alignment horizontal="center" wrapText="1"/>
    </xf>
    <xf numFmtId="2" fontId="22" fillId="409" borderId="0" xfId="0" applyNumberFormat="1" applyFont="1" applyFill="1" applyAlignment="1">
      <alignment horizontal="center" wrapText="1"/>
    </xf>
    <xf numFmtId="2" fontId="22" fillId="410" borderId="0" xfId="0" applyNumberFormat="1" applyFont="1" applyFill="1" applyAlignment="1">
      <alignment horizontal="center" wrapText="1"/>
    </xf>
    <xf numFmtId="2" fontId="22" fillId="411" borderId="0" xfId="0" applyNumberFormat="1" applyFont="1" applyFill="1" applyAlignment="1">
      <alignment horizontal="center" wrapText="1"/>
    </xf>
    <xf numFmtId="2" fontId="22" fillId="412" borderId="0" xfId="0" applyNumberFormat="1" applyFont="1" applyFill="1" applyAlignment="1">
      <alignment horizontal="center" wrapText="1"/>
    </xf>
    <xf numFmtId="2" fontId="22" fillId="413" borderId="0" xfId="0" applyNumberFormat="1" applyFont="1" applyFill="1" applyAlignment="1">
      <alignment horizontal="center" wrapText="1"/>
    </xf>
    <xf numFmtId="2" fontId="22" fillId="414" borderId="0" xfId="0" applyNumberFormat="1" applyFont="1" applyFill="1" applyAlignment="1">
      <alignment horizontal="center" wrapText="1"/>
    </xf>
    <xf numFmtId="2" fontId="22" fillId="415" borderId="0" xfId="0" applyNumberFormat="1" applyFont="1" applyFill="1" applyAlignment="1">
      <alignment horizontal="center" wrapText="1"/>
    </xf>
    <xf numFmtId="2" fontId="22" fillId="416" borderId="0" xfId="0" applyNumberFormat="1" applyFont="1" applyFill="1" applyAlignment="1">
      <alignment horizontal="center" wrapText="1"/>
    </xf>
    <xf numFmtId="2" fontId="22" fillId="417" borderId="0" xfId="0" applyNumberFormat="1" applyFont="1" applyFill="1" applyAlignment="1">
      <alignment horizontal="center" wrapText="1"/>
    </xf>
    <xf numFmtId="2" fontId="22" fillId="418" borderId="0" xfId="0" applyNumberFormat="1" applyFont="1" applyFill="1" applyAlignment="1">
      <alignment horizontal="center" wrapText="1"/>
    </xf>
    <xf numFmtId="2" fontId="22" fillId="419" borderId="0" xfId="0" applyNumberFormat="1" applyFont="1" applyFill="1" applyAlignment="1">
      <alignment horizontal="center" wrapText="1"/>
    </xf>
    <xf numFmtId="2" fontId="22" fillId="420" borderId="0" xfId="0" applyNumberFormat="1" applyFont="1" applyFill="1" applyAlignment="1">
      <alignment horizontal="center" wrapText="1"/>
    </xf>
    <xf numFmtId="2" fontId="22" fillId="421" borderId="0" xfId="0" applyNumberFormat="1" applyFont="1" applyFill="1" applyAlignment="1">
      <alignment horizontal="center" wrapText="1"/>
    </xf>
    <xf numFmtId="2" fontId="22" fillId="422" borderId="0" xfId="0" applyNumberFormat="1" applyFont="1" applyFill="1" applyAlignment="1">
      <alignment horizontal="center" wrapText="1"/>
    </xf>
    <xf numFmtId="2" fontId="22" fillId="423" borderId="0" xfId="0" applyNumberFormat="1" applyFont="1" applyFill="1" applyAlignment="1">
      <alignment horizontal="center" wrapText="1"/>
    </xf>
    <xf numFmtId="2" fontId="22" fillId="424" borderId="0" xfId="0" applyNumberFormat="1" applyFont="1" applyFill="1" applyAlignment="1">
      <alignment horizontal="center" wrapText="1"/>
    </xf>
    <xf numFmtId="2" fontId="22" fillId="425" borderId="0" xfId="0" applyNumberFormat="1" applyFont="1" applyFill="1" applyAlignment="1">
      <alignment horizontal="center" wrapText="1"/>
    </xf>
    <xf numFmtId="2" fontId="22" fillId="426" borderId="0" xfId="0" applyNumberFormat="1" applyFont="1" applyFill="1" applyAlignment="1">
      <alignment horizontal="center" wrapText="1"/>
    </xf>
    <xf numFmtId="2" fontId="22" fillId="427" borderId="0" xfId="0" applyNumberFormat="1" applyFont="1" applyFill="1" applyAlignment="1">
      <alignment horizontal="center" wrapText="1"/>
    </xf>
    <xf numFmtId="2" fontId="22" fillId="428" borderId="0" xfId="0" applyNumberFormat="1" applyFont="1" applyFill="1" applyAlignment="1">
      <alignment horizontal="center" wrapText="1"/>
    </xf>
    <xf numFmtId="2" fontId="22" fillId="429" borderId="0" xfId="0" applyNumberFormat="1" applyFont="1" applyFill="1" applyAlignment="1">
      <alignment horizontal="center" wrapText="1"/>
    </xf>
    <xf numFmtId="2" fontId="22" fillId="430" borderId="0" xfId="0" applyNumberFormat="1" applyFont="1" applyFill="1" applyAlignment="1">
      <alignment horizontal="center" wrapText="1"/>
    </xf>
    <xf numFmtId="2" fontId="22" fillId="431" borderId="0" xfId="0" applyNumberFormat="1" applyFont="1" applyFill="1" applyAlignment="1">
      <alignment horizontal="center" wrapText="1"/>
    </xf>
    <xf numFmtId="2" fontId="22" fillId="432" borderId="0" xfId="0" applyNumberFormat="1" applyFont="1" applyFill="1" applyAlignment="1">
      <alignment horizontal="center" wrapText="1"/>
    </xf>
    <xf numFmtId="2" fontId="22" fillId="433" borderId="0" xfId="0" applyNumberFormat="1" applyFont="1" applyFill="1" applyAlignment="1">
      <alignment horizontal="center" wrapText="1"/>
    </xf>
    <xf numFmtId="2" fontId="22" fillId="434" borderId="0" xfId="0" applyNumberFormat="1" applyFont="1" applyFill="1" applyAlignment="1">
      <alignment horizontal="center" wrapText="1"/>
    </xf>
    <xf numFmtId="2" fontId="22" fillId="435" borderId="0" xfId="0" applyNumberFormat="1" applyFont="1" applyFill="1" applyAlignment="1">
      <alignment horizontal="center" wrapText="1"/>
    </xf>
    <xf numFmtId="2" fontId="22" fillId="436" borderId="0" xfId="0" applyNumberFormat="1" applyFont="1" applyFill="1" applyAlignment="1">
      <alignment horizontal="center" wrapText="1"/>
    </xf>
    <xf numFmtId="2" fontId="22" fillId="437" borderId="0" xfId="0" applyNumberFormat="1" applyFont="1" applyFill="1" applyAlignment="1">
      <alignment horizontal="center" wrapText="1"/>
    </xf>
    <xf numFmtId="2" fontId="22" fillId="438" borderId="0" xfId="0" applyNumberFormat="1" applyFont="1" applyFill="1" applyAlignment="1">
      <alignment horizontal="center" wrapText="1"/>
    </xf>
    <xf numFmtId="2" fontId="22" fillId="439" borderId="0" xfId="0" applyNumberFormat="1" applyFont="1" applyFill="1" applyAlignment="1">
      <alignment horizontal="center" wrapText="1"/>
    </xf>
    <xf numFmtId="2" fontId="22" fillId="440" borderId="0" xfId="0" applyNumberFormat="1" applyFont="1" applyFill="1" applyAlignment="1">
      <alignment horizontal="center" wrapText="1"/>
    </xf>
    <xf numFmtId="2" fontId="22" fillId="441" borderId="0" xfId="0" applyNumberFormat="1" applyFont="1" applyFill="1" applyAlignment="1">
      <alignment horizontal="center" wrapText="1"/>
    </xf>
    <xf numFmtId="2" fontId="22" fillId="442" borderId="0" xfId="0" applyNumberFormat="1" applyFont="1" applyFill="1" applyAlignment="1">
      <alignment horizontal="center" wrapText="1"/>
    </xf>
    <xf numFmtId="2" fontId="22" fillId="443" borderId="0" xfId="0" applyNumberFormat="1" applyFont="1" applyFill="1" applyAlignment="1">
      <alignment horizontal="center" wrapText="1"/>
    </xf>
    <xf numFmtId="2" fontId="22" fillId="444" borderId="0" xfId="0" applyNumberFormat="1" applyFont="1" applyFill="1" applyAlignment="1">
      <alignment horizontal="center" wrapText="1"/>
    </xf>
    <xf numFmtId="2" fontId="22" fillId="445" borderId="0" xfId="0" applyNumberFormat="1" applyFont="1" applyFill="1" applyAlignment="1">
      <alignment horizontal="center" wrapText="1"/>
    </xf>
    <xf numFmtId="2" fontId="22" fillId="446" borderId="0" xfId="0" applyNumberFormat="1" applyFont="1" applyFill="1" applyAlignment="1">
      <alignment horizontal="center" wrapText="1"/>
    </xf>
    <xf numFmtId="2" fontId="22" fillId="447" borderId="0" xfId="0" applyNumberFormat="1" applyFont="1" applyFill="1" applyAlignment="1">
      <alignment horizontal="center" wrapText="1"/>
    </xf>
    <xf numFmtId="2" fontId="22" fillId="448" borderId="0" xfId="0" applyNumberFormat="1" applyFont="1" applyFill="1" applyAlignment="1">
      <alignment horizontal="center" wrapText="1"/>
    </xf>
    <xf numFmtId="2" fontId="22" fillId="449" borderId="0" xfId="0" applyNumberFormat="1" applyFont="1" applyFill="1" applyAlignment="1">
      <alignment horizontal="center" wrapText="1"/>
    </xf>
    <xf numFmtId="2" fontId="22" fillId="450" borderId="0" xfId="0" applyNumberFormat="1" applyFont="1" applyFill="1" applyAlignment="1">
      <alignment horizontal="center" wrapText="1"/>
    </xf>
    <xf numFmtId="2" fontId="22" fillId="451" borderId="0" xfId="0" applyNumberFormat="1" applyFont="1" applyFill="1" applyAlignment="1">
      <alignment horizontal="center" wrapText="1"/>
    </xf>
    <xf numFmtId="2" fontId="22" fillId="452" borderId="0" xfId="0" applyNumberFormat="1" applyFont="1" applyFill="1" applyAlignment="1">
      <alignment horizontal="center" wrapText="1"/>
    </xf>
    <xf numFmtId="2" fontId="22" fillId="453" borderId="0" xfId="0" applyNumberFormat="1" applyFont="1" applyFill="1" applyAlignment="1">
      <alignment horizontal="center" wrapText="1"/>
    </xf>
    <xf numFmtId="2" fontId="22" fillId="454" borderId="0" xfId="0" applyNumberFormat="1" applyFont="1" applyFill="1" applyAlignment="1">
      <alignment horizontal="center" wrapText="1"/>
    </xf>
    <xf numFmtId="2" fontId="22" fillId="455" borderId="0" xfId="0" applyNumberFormat="1" applyFont="1" applyFill="1" applyAlignment="1">
      <alignment horizontal="center" wrapText="1"/>
    </xf>
    <xf numFmtId="2" fontId="22" fillId="456" borderId="0" xfId="0" applyNumberFormat="1" applyFont="1" applyFill="1" applyAlignment="1">
      <alignment horizontal="center" wrapText="1"/>
    </xf>
    <xf numFmtId="2" fontId="22" fillId="457" borderId="0" xfId="0" applyNumberFormat="1" applyFont="1" applyFill="1" applyAlignment="1">
      <alignment horizontal="center" wrapText="1"/>
    </xf>
    <xf numFmtId="2" fontId="22" fillId="458" borderId="0" xfId="0" applyNumberFormat="1" applyFont="1" applyFill="1" applyAlignment="1">
      <alignment horizontal="center" wrapText="1"/>
    </xf>
    <xf numFmtId="2" fontId="22" fillId="459" borderId="0" xfId="0" applyNumberFormat="1" applyFont="1" applyFill="1" applyAlignment="1">
      <alignment horizontal="center" wrapText="1"/>
    </xf>
    <xf numFmtId="2" fontId="22" fillId="460" borderId="0" xfId="0" applyNumberFormat="1" applyFont="1" applyFill="1" applyAlignment="1">
      <alignment horizontal="center" wrapText="1"/>
    </xf>
    <xf numFmtId="2" fontId="22" fillId="461" borderId="0" xfId="0" applyNumberFormat="1" applyFont="1" applyFill="1" applyAlignment="1">
      <alignment horizontal="center" wrapText="1"/>
    </xf>
    <xf numFmtId="2" fontId="22" fillId="462" borderId="0" xfId="0" applyNumberFormat="1" applyFont="1" applyFill="1" applyAlignment="1">
      <alignment horizontal="center" wrapText="1"/>
    </xf>
    <xf numFmtId="2" fontId="22" fillId="463" borderId="0" xfId="0" applyNumberFormat="1" applyFont="1" applyFill="1" applyAlignment="1">
      <alignment horizontal="center" wrapText="1"/>
    </xf>
    <xf numFmtId="2" fontId="22" fillId="464" borderId="0" xfId="0" applyNumberFormat="1" applyFont="1" applyFill="1" applyAlignment="1">
      <alignment horizontal="center" wrapText="1"/>
    </xf>
    <xf numFmtId="2" fontId="22" fillId="465" borderId="0" xfId="0" applyNumberFormat="1" applyFont="1" applyFill="1" applyAlignment="1">
      <alignment horizontal="center" wrapText="1"/>
    </xf>
    <xf numFmtId="2" fontId="22" fillId="466" borderId="0" xfId="0" applyNumberFormat="1" applyFont="1" applyFill="1" applyAlignment="1">
      <alignment horizontal="center" wrapText="1"/>
    </xf>
    <xf numFmtId="2" fontId="22" fillId="467" borderId="0" xfId="0" applyNumberFormat="1" applyFont="1" applyFill="1" applyAlignment="1">
      <alignment horizontal="center" wrapText="1"/>
    </xf>
    <xf numFmtId="2" fontId="22" fillId="468" borderId="0" xfId="0" applyNumberFormat="1" applyFont="1" applyFill="1" applyAlignment="1">
      <alignment horizontal="center" wrapText="1"/>
    </xf>
    <xf numFmtId="2" fontId="22" fillId="469" borderId="0" xfId="0" applyNumberFormat="1" applyFont="1" applyFill="1" applyAlignment="1">
      <alignment horizontal="center" wrapText="1"/>
    </xf>
    <xf numFmtId="2" fontId="22" fillId="470" borderId="0" xfId="0" applyNumberFormat="1" applyFont="1" applyFill="1" applyAlignment="1">
      <alignment horizontal="center" wrapText="1"/>
    </xf>
    <xf numFmtId="2" fontId="22" fillId="471" borderId="0" xfId="0" applyNumberFormat="1" applyFont="1" applyFill="1" applyAlignment="1">
      <alignment horizontal="center" wrapText="1"/>
    </xf>
    <xf numFmtId="2" fontId="22" fillId="472" borderId="0" xfId="0" applyNumberFormat="1" applyFont="1" applyFill="1" applyAlignment="1">
      <alignment horizontal="center" wrapText="1"/>
    </xf>
    <xf numFmtId="2" fontId="22" fillId="474" borderId="0" xfId="0" applyNumberFormat="1" applyFont="1" applyFill="1" applyAlignment="1">
      <alignment horizontal="center" wrapText="1"/>
    </xf>
    <xf numFmtId="2" fontId="22" fillId="476" borderId="0" xfId="0" applyNumberFormat="1" applyFont="1" applyFill="1" applyAlignment="1">
      <alignment horizontal="center" wrapText="1"/>
    </xf>
    <xf numFmtId="2" fontId="22" fillId="478" borderId="0" xfId="0" applyNumberFormat="1" applyFont="1" applyFill="1" applyAlignment="1">
      <alignment horizontal="center" wrapText="1"/>
    </xf>
    <xf numFmtId="2" fontId="22" fillId="479" borderId="0" xfId="0" applyNumberFormat="1" applyFont="1" applyFill="1" applyAlignment="1">
      <alignment horizontal="center" wrapText="1"/>
    </xf>
    <xf numFmtId="2" fontId="22" fillId="480" borderId="0" xfId="0" applyNumberFormat="1" applyFont="1" applyFill="1" applyAlignment="1">
      <alignment horizontal="center" wrapText="1"/>
    </xf>
    <xf numFmtId="2" fontId="22" fillId="481" borderId="0" xfId="0" applyNumberFormat="1" applyFont="1" applyFill="1" applyAlignment="1">
      <alignment horizontal="center" wrapText="1"/>
    </xf>
    <xf numFmtId="2" fontId="22" fillId="482" borderId="0" xfId="0" applyNumberFormat="1" applyFont="1" applyFill="1" applyAlignment="1">
      <alignment horizontal="center" wrapText="1"/>
    </xf>
    <xf numFmtId="2" fontId="22" fillId="484" borderId="0" xfId="0" applyNumberFormat="1" applyFont="1" applyFill="1" applyAlignment="1">
      <alignment horizontal="center" wrapText="1"/>
    </xf>
    <xf numFmtId="2" fontId="22" fillId="485" borderId="0" xfId="0" applyNumberFormat="1" applyFont="1" applyFill="1" applyAlignment="1">
      <alignment horizontal="center" wrapText="1"/>
    </xf>
    <xf numFmtId="2" fontId="22" fillId="486" borderId="0" xfId="0" applyNumberFormat="1" applyFont="1" applyFill="1" applyAlignment="1">
      <alignment horizontal="center" wrapText="1"/>
    </xf>
    <xf numFmtId="2" fontId="22" fillId="487" borderId="0" xfId="0" applyNumberFormat="1" applyFont="1" applyFill="1" applyAlignment="1">
      <alignment horizontal="center" wrapText="1"/>
    </xf>
    <xf numFmtId="2" fontId="22" fillId="488" borderId="0" xfId="0" applyNumberFormat="1" applyFont="1" applyFill="1" applyAlignment="1">
      <alignment horizontal="center" wrapText="1"/>
    </xf>
    <xf numFmtId="2" fontId="22" fillId="489" borderId="0" xfId="0" applyNumberFormat="1" applyFont="1" applyFill="1" applyAlignment="1">
      <alignment horizontal="center" wrapText="1"/>
    </xf>
    <xf numFmtId="2" fontId="22" fillId="490" borderId="0" xfId="0" applyNumberFormat="1" applyFont="1" applyFill="1" applyAlignment="1">
      <alignment horizontal="center" wrapText="1"/>
    </xf>
    <xf numFmtId="2" fontId="22" fillId="491" borderId="0" xfId="0" applyNumberFormat="1" applyFont="1" applyFill="1" applyAlignment="1">
      <alignment horizontal="center" wrapText="1"/>
    </xf>
    <xf numFmtId="2" fontId="22" fillId="492" borderId="0" xfId="0" applyNumberFormat="1" applyFont="1" applyFill="1" applyAlignment="1">
      <alignment horizontal="center" wrapText="1"/>
    </xf>
    <xf numFmtId="2" fontId="22" fillId="493" borderId="0" xfId="0" applyNumberFormat="1" applyFont="1" applyFill="1" applyAlignment="1">
      <alignment horizontal="center" wrapText="1"/>
    </xf>
    <xf numFmtId="2" fontId="22" fillId="494" borderId="0" xfId="0" applyNumberFormat="1" applyFont="1" applyFill="1" applyAlignment="1">
      <alignment horizontal="center" wrapText="1"/>
    </xf>
    <xf numFmtId="2" fontId="22" fillId="495" borderId="0" xfId="0" applyNumberFormat="1" applyFont="1" applyFill="1" applyAlignment="1">
      <alignment horizontal="center" wrapText="1"/>
    </xf>
    <xf numFmtId="2" fontId="22" fillId="496" borderId="0" xfId="0" applyNumberFormat="1" applyFont="1" applyFill="1" applyAlignment="1">
      <alignment horizontal="center" wrapText="1"/>
    </xf>
    <xf numFmtId="2" fontId="22" fillId="497" borderId="0" xfId="0" applyNumberFormat="1" applyFont="1" applyFill="1" applyAlignment="1">
      <alignment horizontal="center" wrapText="1"/>
    </xf>
    <xf numFmtId="2" fontId="22" fillId="498" borderId="0" xfId="0" applyNumberFormat="1" applyFont="1" applyFill="1" applyAlignment="1">
      <alignment horizontal="center" wrapText="1"/>
    </xf>
    <xf numFmtId="2" fontId="22" fillId="499" borderId="0" xfId="0" applyNumberFormat="1" applyFont="1" applyFill="1" applyAlignment="1">
      <alignment horizontal="center" wrapText="1"/>
    </xf>
    <xf numFmtId="2" fontId="22" fillId="500" borderId="0" xfId="0" applyNumberFormat="1" applyFont="1" applyFill="1" applyAlignment="1">
      <alignment horizontal="center" wrapText="1"/>
    </xf>
    <xf numFmtId="2" fontId="22" fillId="501" borderId="0" xfId="0" applyNumberFormat="1" applyFont="1" applyFill="1" applyAlignment="1">
      <alignment horizontal="center" wrapText="1"/>
    </xf>
    <xf numFmtId="2" fontId="22" fillId="502" borderId="0" xfId="0" applyNumberFormat="1" applyFont="1" applyFill="1" applyAlignment="1">
      <alignment horizontal="center" wrapText="1"/>
    </xf>
    <xf numFmtId="2" fontId="22" fillId="503" borderId="0" xfId="0" applyNumberFormat="1" applyFont="1" applyFill="1" applyAlignment="1">
      <alignment horizontal="center" wrapText="1"/>
    </xf>
    <xf numFmtId="2" fontId="22" fillId="504" borderId="0" xfId="0" applyNumberFormat="1" applyFont="1" applyFill="1" applyAlignment="1">
      <alignment horizontal="center" wrapText="1"/>
    </xf>
    <xf numFmtId="2" fontId="22" fillId="505" borderId="0" xfId="0" applyNumberFormat="1" applyFont="1" applyFill="1" applyAlignment="1">
      <alignment horizontal="center" wrapText="1"/>
    </xf>
    <xf numFmtId="2" fontId="22" fillId="506" borderId="0" xfId="0" applyNumberFormat="1" applyFont="1" applyFill="1" applyAlignment="1">
      <alignment horizontal="center" wrapText="1"/>
    </xf>
    <xf numFmtId="2" fontId="22" fillId="507" borderId="0" xfId="0" applyNumberFormat="1" applyFont="1" applyFill="1" applyAlignment="1">
      <alignment horizontal="center" wrapText="1"/>
    </xf>
    <xf numFmtId="2" fontId="22" fillId="508" borderId="0" xfId="0" applyNumberFormat="1" applyFont="1" applyFill="1" applyAlignment="1">
      <alignment horizontal="center" wrapText="1"/>
    </xf>
    <xf numFmtId="2" fontId="22" fillId="509" borderId="0" xfId="0" applyNumberFormat="1" applyFont="1" applyFill="1" applyAlignment="1">
      <alignment horizontal="center" wrapText="1"/>
    </xf>
    <xf numFmtId="2" fontId="22" fillId="510" borderId="0" xfId="0" applyNumberFormat="1" applyFont="1" applyFill="1" applyAlignment="1">
      <alignment horizontal="center" wrapText="1"/>
    </xf>
    <xf numFmtId="2" fontId="22" fillId="511" borderId="0" xfId="0" applyNumberFormat="1" applyFont="1" applyFill="1" applyAlignment="1">
      <alignment horizontal="center" wrapText="1"/>
    </xf>
    <xf numFmtId="2" fontId="22" fillId="512" borderId="0" xfId="0" applyNumberFormat="1" applyFont="1" applyFill="1" applyAlignment="1">
      <alignment horizontal="center" wrapText="1"/>
    </xf>
    <xf numFmtId="2" fontId="22" fillId="513" borderId="0" xfId="0" applyNumberFormat="1" applyFont="1" applyFill="1" applyAlignment="1">
      <alignment horizontal="center" wrapText="1"/>
    </xf>
    <xf numFmtId="2" fontId="22" fillId="515" borderId="0" xfId="0" applyNumberFormat="1" applyFont="1" applyFill="1" applyAlignment="1">
      <alignment horizontal="center" wrapText="1"/>
    </xf>
    <xf numFmtId="2" fontId="22" fillId="516" borderId="0" xfId="0" applyNumberFormat="1" applyFont="1" applyFill="1" applyAlignment="1">
      <alignment horizontal="center" wrapText="1"/>
    </xf>
    <xf numFmtId="2" fontId="22" fillId="517" borderId="0" xfId="0" applyNumberFormat="1" applyFont="1" applyFill="1" applyAlignment="1">
      <alignment horizontal="center" wrapText="1"/>
    </xf>
    <xf numFmtId="2" fontId="22" fillId="518" borderId="0" xfId="0" applyNumberFormat="1" applyFont="1" applyFill="1" applyAlignment="1">
      <alignment horizontal="center" wrapText="1"/>
    </xf>
    <xf numFmtId="2" fontId="22" fillId="519" borderId="0" xfId="0" applyNumberFormat="1" applyFont="1" applyFill="1" applyAlignment="1">
      <alignment horizontal="center" wrapText="1"/>
    </xf>
    <xf numFmtId="2" fontId="22" fillId="520" borderId="0" xfId="0" applyNumberFormat="1" applyFont="1" applyFill="1" applyAlignment="1">
      <alignment horizontal="center" wrapText="1"/>
    </xf>
    <xf numFmtId="2" fontId="22" fillId="521" borderId="0" xfId="0" applyNumberFormat="1" applyFont="1" applyFill="1" applyAlignment="1">
      <alignment horizontal="center" wrapText="1"/>
    </xf>
    <xf numFmtId="2" fontId="22" fillId="522" borderId="0" xfId="0" applyNumberFormat="1" applyFont="1" applyFill="1" applyAlignment="1">
      <alignment horizontal="center" wrapText="1"/>
    </xf>
    <xf numFmtId="2" fontId="22" fillId="523" borderId="0" xfId="0" applyNumberFormat="1" applyFont="1" applyFill="1" applyAlignment="1">
      <alignment horizontal="center" wrapText="1"/>
    </xf>
    <xf numFmtId="2" fontId="22" fillId="524" borderId="0" xfId="0" applyNumberFormat="1" applyFont="1" applyFill="1" applyAlignment="1">
      <alignment horizontal="center" wrapText="1"/>
    </xf>
    <xf numFmtId="2" fontId="22" fillId="525" borderId="0" xfId="0" applyNumberFormat="1" applyFont="1" applyFill="1" applyAlignment="1">
      <alignment horizontal="center" wrapText="1"/>
    </xf>
    <xf numFmtId="2" fontId="22" fillId="526" borderId="0" xfId="0" applyNumberFormat="1" applyFont="1" applyFill="1" applyAlignment="1">
      <alignment horizontal="center" wrapText="1"/>
    </xf>
    <xf numFmtId="2" fontId="22" fillId="528" borderId="0" xfId="0" applyNumberFormat="1" applyFont="1" applyFill="1" applyAlignment="1">
      <alignment horizontal="center" wrapText="1"/>
    </xf>
    <xf numFmtId="2" fontId="22" fillId="530" borderId="0" xfId="0" applyNumberFormat="1" applyFont="1" applyFill="1" applyAlignment="1">
      <alignment horizontal="center" wrapText="1"/>
    </xf>
    <xf numFmtId="2" fontId="22" fillId="531" borderId="0" xfId="0" applyNumberFormat="1" applyFont="1" applyFill="1" applyAlignment="1">
      <alignment horizontal="center" wrapText="1"/>
    </xf>
    <xf numFmtId="2" fontId="22" fillId="534" borderId="0" xfId="0" applyNumberFormat="1" applyFont="1" applyFill="1" applyAlignment="1">
      <alignment horizontal="center" wrapText="1"/>
    </xf>
    <xf numFmtId="2" fontId="22" fillId="536" borderId="0" xfId="0" applyNumberFormat="1" applyFont="1" applyFill="1" applyAlignment="1">
      <alignment horizontal="center" wrapText="1"/>
    </xf>
    <xf numFmtId="2" fontId="22" fillId="537" borderId="0" xfId="0" applyNumberFormat="1" applyFont="1" applyFill="1" applyAlignment="1">
      <alignment horizontal="center" wrapText="1"/>
    </xf>
    <xf numFmtId="2" fontId="22" fillId="538" borderId="0" xfId="0" applyNumberFormat="1" applyFont="1" applyFill="1" applyAlignment="1">
      <alignment horizontal="center" wrapText="1"/>
    </xf>
    <xf numFmtId="2" fontId="22" fillId="540" borderId="0" xfId="0" applyNumberFormat="1" applyFont="1" applyFill="1" applyAlignment="1">
      <alignment horizontal="center" wrapText="1"/>
    </xf>
    <xf numFmtId="2" fontId="22" fillId="545" borderId="0" xfId="0" applyNumberFormat="1" applyFont="1" applyFill="1" applyAlignment="1">
      <alignment horizontal="center" wrapText="1"/>
    </xf>
    <xf numFmtId="0" fontId="22" fillId="37" borderId="11" xfId="0" applyNumberFormat="1" applyFont="1" applyFill="1" applyBorder="1" applyAlignment="1">
      <alignment horizontal="center" wrapText="1"/>
    </xf>
    <xf numFmtId="0" fontId="22" fillId="473" borderId="11" xfId="0" applyNumberFormat="1" applyFont="1" applyFill="1" applyBorder="1" applyAlignment="1">
      <alignment horizontal="center" wrapText="1"/>
    </xf>
    <xf numFmtId="0" fontId="22" fillId="514" borderId="11" xfId="0" applyNumberFormat="1" applyFont="1" applyFill="1" applyBorder="1" applyAlignment="1">
      <alignment horizontal="center" wrapText="1"/>
    </xf>
    <xf numFmtId="0" fontId="22" fillId="529" borderId="11" xfId="0" applyNumberFormat="1" applyFont="1" applyFill="1" applyBorder="1" applyAlignment="1">
      <alignment horizontal="center" wrapText="1"/>
    </xf>
    <xf numFmtId="0" fontId="22" fillId="542" borderId="11" xfId="0" applyNumberFormat="1" applyFont="1" applyFill="1" applyBorder="1" applyAlignment="1">
      <alignment horizontal="center" wrapText="1"/>
    </xf>
    <xf numFmtId="0" fontId="22" fillId="544" borderId="11" xfId="0" applyNumberFormat="1" applyFont="1" applyFill="1" applyBorder="1" applyAlignment="1">
      <alignment horizontal="center" wrapText="1"/>
    </xf>
    <xf numFmtId="0" fontId="22" fillId="546" borderId="11" xfId="0" applyNumberFormat="1" applyFont="1" applyFill="1" applyBorder="1" applyAlignment="1">
      <alignment horizontal="center" wrapText="1"/>
    </xf>
    <xf numFmtId="0" fontId="22" fillId="548" borderId="11" xfId="0" applyNumberFormat="1" applyFont="1" applyFill="1" applyBorder="1" applyAlignment="1">
      <alignment horizontal="center" wrapText="1"/>
    </xf>
    <xf numFmtId="0" fontId="22" fillId="549" borderId="11" xfId="0" applyNumberFormat="1" applyFont="1" applyFill="1" applyBorder="1" applyAlignment="1">
      <alignment horizontal="center" wrapText="1"/>
    </xf>
    <xf numFmtId="164" fontId="22" fillId="35" borderId="14" xfId="0" applyNumberFormat="1" applyFont="1" applyFill="1" applyBorder="1" applyAlignment="1">
      <alignment vertical="top" textRotation="90" wrapText="1"/>
    </xf>
    <xf numFmtId="2" fontId="22" fillId="44" borderId="14" xfId="0" applyNumberFormat="1" applyFont="1" applyFill="1" applyBorder="1" applyAlignment="1">
      <alignment horizontal="center" wrapText="1"/>
    </xf>
    <xf numFmtId="2" fontId="22" fillId="37" borderId="0" xfId="0" applyNumberFormat="1" applyFont="1" applyFill="1" applyBorder="1" applyAlignment="1">
      <alignment horizontal="center" wrapText="1"/>
    </xf>
    <xf numFmtId="2" fontId="22" fillId="45" borderId="0" xfId="0" applyNumberFormat="1" applyFont="1" applyFill="1" applyBorder="1" applyAlignment="1">
      <alignment horizontal="center" wrapText="1"/>
    </xf>
    <xf numFmtId="2" fontId="22" fillId="46" borderId="0" xfId="0" applyNumberFormat="1" applyFont="1" applyFill="1" applyBorder="1" applyAlignment="1">
      <alignment horizontal="center" wrapText="1"/>
    </xf>
    <xf numFmtId="2" fontId="22" fillId="47" borderId="0" xfId="0" applyNumberFormat="1" applyFont="1" applyFill="1" applyBorder="1" applyAlignment="1">
      <alignment horizontal="center" wrapText="1"/>
    </xf>
    <xf numFmtId="2" fontId="22" fillId="48" borderId="13" xfId="0" applyNumberFormat="1" applyFont="1" applyFill="1" applyBorder="1" applyAlignment="1">
      <alignment horizontal="center" wrapText="1"/>
    </xf>
    <xf numFmtId="2" fontId="22" fillId="55" borderId="14" xfId="0" applyNumberFormat="1" applyFont="1" applyFill="1" applyBorder="1" applyAlignment="1">
      <alignment horizontal="center" wrapText="1"/>
    </xf>
    <xf numFmtId="2" fontId="22" fillId="56" borderId="0" xfId="0" applyNumberFormat="1" applyFont="1" applyFill="1" applyBorder="1" applyAlignment="1">
      <alignment horizontal="center" wrapText="1"/>
    </xf>
    <xf numFmtId="2" fontId="22" fillId="43" borderId="0" xfId="0" applyNumberFormat="1" applyFont="1" applyFill="1" applyBorder="1" applyAlignment="1">
      <alignment horizontal="center" wrapText="1"/>
    </xf>
    <xf numFmtId="2" fontId="22" fillId="57" borderId="13" xfId="0" applyNumberFormat="1" applyFont="1" applyFill="1" applyBorder="1" applyAlignment="1">
      <alignment horizontal="center" wrapText="1"/>
    </xf>
    <xf numFmtId="2" fontId="22" fillId="63" borderId="14" xfId="0" applyNumberFormat="1" applyFont="1" applyFill="1" applyBorder="1" applyAlignment="1">
      <alignment horizontal="center" wrapText="1"/>
    </xf>
    <xf numFmtId="2" fontId="22" fillId="64" borderId="0" xfId="0" applyNumberFormat="1" applyFont="1" applyFill="1" applyBorder="1" applyAlignment="1">
      <alignment horizontal="center" wrapText="1"/>
    </xf>
    <xf numFmtId="2" fontId="22" fillId="61" borderId="0" xfId="0" applyNumberFormat="1" applyFont="1" applyFill="1" applyBorder="1" applyAlignment="1">
      <alignment horizontal="center" wrapText="1"/>
    </xf>
    <xf numFmtId="2" fontId="22" fillId="65" borderId="0" xfId="0" applyNumberFormat="1" applyFont="1" applyFill="1" applyBorder="1" applyAlignment="1">
      <alignment horizontal="center" wrapText="1"/>
    </xf>
    <xf numFmtId="2" fontId="22" fillId="62" borderId="13" xfId="0" applyNumberFormat="1" applyFont="1" applyFill="1" applyBorder="1" applyAlignment="1">
      <alignment horizontal="center" wrapText="1"/>
    </xf>
    <xf numFmtId="2" fontId="22" fillId="71" borderId="14" xfId="0" applyNumberFormat="1" applyFont="1" applyFill="1" applyBorder="1" applyAlignment="1">
      <alignment horizontal="center" wrapText="1"/>
    </xf>
    <xf numFmtId="2" fontId="22" fillId="72" borderId="0" xfId="0" applyNumberFormat="1" applyFont="1" applyFill="1" applyBorder="1" applyAlignment="1">
      <alignment horizontal="center" wrapText="1"/>
    </xf>
    <xf numFmtId="2" fontId="22" fillId="44" borderId="0" xfId="0" applyNumberFormat="1" applyFont="1" applyFill="1" applyBorder="1" applyAlignment="1">
      <alignment horizontal="center" wrapText="1"/>
    </xf>
    <xf numFmtId="2" fontId="22" fillId="73" borderId="0" xfId="0" applyNumberFormat="1" applyFont="1" applyFill="1" applyBorder="1" applyAlignment="1">
      <alignment horizontal="center" wrapText="1"/>
    </xf>
    <xf numFmtId="2" fontId="22" fillId="74" borderId="0" xfId="0" applyNumberFormat="1" applyFont="1" applyFill="1" applyBorder="1" applyAlignment="1">
      <alignment horizontal="center" wrapText="1"/>
    </xf>
    <xf numFmtId="2" fontId="22" fillId="75" borderId="13" xfId="0" applyNumberFormat="1" applyFont="1" applyFill="1" applyBorder="1" applyAlignment="1">
      <alignment horizontal="center" wrapText="1"/>
    </xf>
    <xf numFmtId="2" fontId="22" fillId="82" borderId="14" xfId="0" applyNumberFormat="1" applyFont="1" applyFill="1" applyBorder="1" applyAlignment="1">
      <alignment horizontal="center" wrapText="1"/>
    </xf>
    <xf numFmtId="2" fontId="22" fillId="63" borderId="0" xfId="0" applyNumberFormat="1" applyFont="1" applyFill="1" applyBorder="1" applyAlignment="1">
      <alignment horizontal="center" wrapText="1"/>
    </xf>
    <xf numFmtId="2" fontId="22" fillId="83" borderId="0" xfId="0" applyNumberFormat="1" applyFont="1" applyFill="1" applyBorder="1" applyAlignment="1">
      <alignment horizontal="center" wrapText="1"/>
    </xf>
    <xf numFmtId="2" fontId="22" fillId="84" borderId="0" xfId="0" applyNumberFormat="1" applyFont="1" applyFill="1" applyBorder="1" applyAlignment="1">
      <alignment horizontal="center" wrapText="1"/>
    </xf>
    <xf numFmtId="2" fontId="22" fillId="85" borderId="0" xfId="0" applyNumberFormat="1" applyFont="1" applyFill="1" applyBorder="1" applyAlignment="1">
      <alignment horizontal="center" wrapText="1"/>
    </xf>
    <xf numFmtId="2" fontId="22" fillId="86" borderId="13" xfId="0" applyNumberFormat="1" applyFont="1" applyFill="1" applyBorder="1" applyAlignment="1">
      <alignment horizontal="center" wrapText="1"/>
    </xf>
    <xf numFmtId="2" fontId="22" fillId="93" borderId="14" xfId="0" applyNumberFormat="1" applyFont="1" applyFill="1" applyBorder="1" applyAlignment="1">
      <alignment horizontal="center" wrapText="1"/>
    </xf>
    <xf numFmtId="2" fontId="22" fillId="94" borderId="0" xfId="0" applyNumberFormat="1" applyFont="1" applyFill="1" applyBorder="1" applyAlignment="1">
      <alignment horizontal="center" wrapText="1"/>
    </xf>
    <xf numFmtId="2" fontId="22" fillId="95" borderId="0" xfId="0" applyNumberFormat="1" applyFont="1" applyFill="1" applyBorder="1" applyAlignment="1">
      <alignment horizontal="center" wrapText="1"/>
    </xf>
    <xf numFmtId="2" fontId="22" fillId="96" borderId="0" xfId="0" applyNumberFormat="1" applyFont="1" applyFill="1" applyBorder="1" applyAlignment="1">
      <alignment horizontal="center" wrapText="1"/>
    </xf>
    <xf numFmtId="2" fontId="22" fillId="97" borderId="13" xfId="0" applyNumberFormat="1" applyFont="1" applyFill="1" applyBorder="1" applyAlignment="1">
      <alignment horizontal="center" wrapText="1"/>
    </xf>
    <xf numFmtId="2" fontId="22" fillId="37" borderId="14" xfId="0" applyNumberFormat="1" applyFont="1" applyFill="1" applyBorder="1" applyAlignment="1">
      <alignment horizontal="center" wrapText="1"/>
    </xf>
    <xf numFmtId="2" fontId="22" fillId="101" borderId="0" xfId="0" applyNumberFormat="1" applyFont="1" applyFill="1" applyBorder="1" applyAlignment="1">
      <alignment horizontal="center" wrapText="1"/>
    </xf>
    <xf numFmtId="2" fontId="22" fillId="102" borderId="0" xfId="0" applyNumberFormat="1" applyFont="1" applyFill="1" applyBorder="1" applyAlignment="1">
      <alignment horizontal="center" wrapText="1"/>
    </xf>
    <xf numFmtId="2" fontId="22" fillId="103" borderId="0" xfId="0" applyNumberFormat="1" applyFont="1" applyFill="1" applyBorder="1" applyAlignment="1">
      <alignment horizontal="center" wrapText="1"/>
    </xf>
    <xf numFmtId="2" fontId="22" fillId="104" borderId="0" xfId="0" applyNumberFormat="1" applyFont="1" applyFill="1" applyBorder="1" applyAlignment="1">
      <alignment horizontal="center" wrapText="1"/>
    </xf>
    <xf numFmtId="2" fontId="22" fillId="105" borderId="13" xfId="0" applyNumberFormat="1" applyFont="1" applyFill="1" applyBorder="1" applyAlignment="1">
      <alignment horizontal="center" wrapText="1"/>
    </xf>
    <xf numFmtId="2" fontId="22" fillId="108" borderId="14" xfId="0" applyNumberFormat="1" applyFont="1" applyFill="1" applyBorder="1" applyAlignment="1">
      <alignment horizontal="center" wrapText="1"/>
    </xf>
    <xf numFmtId="2" fontId="22" fillId="109" borderId="0" xfId="0" applyNumberFormat="1" applyFont="1" applyFill="1" applyBorder="1" applyAlignment="1">
      <alignment horizontal="center" wrapText="1"/>
    </xf>
    <xf numFmtId="2" fontId="22" fillId="110" borderId="0" xfId="0" applyNumberFormat="1" applyFont="1" applyFill="1" applyBorder="1" applyAlignment="1">
      <alignment horizontal="center" wrapText="1"/>
    </xf>
    <xf numFmtId="2" fontId="22" fillId="39" borderId="0" xfId="0" applyNumberFormat="1" applyFont="1" applyFill="1" applyBorder="1" applyAlignment="1">
      <alignment horizontal="center" wrapText="1"/>
    </xf>
    <xf numFmtId="2" fontId="22" fillId="111" borderId="0" xfId="0" applyNumberFormat="1" applyFont="1" applyFill="1" applyBorder="1" applyAlignment="1">
      <alignment horizontal="center" wrapText="1"/>
    </xf>
    <xf numFmtId="2" fontId="22" fillId="89" borderId="13" xfId="0" applyNumberFormat="1" applyFont="1" applyFill="1" applyBorder="1" applyAlignment="1">
      <alignment horizontal="center" wrapText="1"/>
    </xf>
    <xf numFmtId="2" fontId="22" fillId="117" borderId="14" xfId="0" applyNumberFormat="1" applyFont="1" applyFill="1" applyBorder="1" applyAlignment="1">
      <alignment horizontal="center" wrapText="1"/>
    </xf>
    <xf numFmtId="2" fontId="22" fillId="118" borderId="0" xfId="0" applyNumberFormat="1" applyFont="1" applyFill="1" applyBorder="1" applyAlignment="1">
      <alignment horizontal="center" wrapText="1"/>
    </xf>
    <xf numFmtId="2" fontId="22" fillId="119" borderId="0" xfId="0" applyNumberFormat="1" applyFont="1" applyFill="1" applyBorder="1" applyAlignment="1">
      <alignment horizontal="center" wrapText="1"/>
    </xf>
    <xf numFmtId="2" fontId="22" fillId="107" borderId="0" xfId="0" applyNumberFormat="1" applyFont="1" applyFill="1" applyBorder="1" applyAlignment="1">
      <alignment horizontal="center" wrapText="1"/>
    </xf>
    <xf numFmtId="2" fontId="22" fillId="105" borderId="0" xfId="0" applyNumberFormat="1" applyFont="1" applyFill="1" applyBorder="1" applyAlignment="1">
      <alignment horizontal="center" wrapText="1"/>
    </xf>
    <xf numFmtId="2" fontId="22" fillId="107" borderId="13" xfId="0" applyNumberFormat="1" applyFont="1" applyFill="1" applyBorder="1" applyAlignment="1">
      <alignment horizontal="center" wrapText="1"/>
    </xf>
    <xf numFmtId="2" fontId="22" fillId="110" borderId="14" xfId="0" applyNumberFormat="1" applyFont="1" applyFill="1" applyBorder="1" applyAlignment="1">
      <alignment horizontal="center" wrapText="1"/>
    </xf>
    <xf numFmtId="2" fontId="22" fillId="123" borderId="0" xfId="0" applyNumberFormat="1" applyFont="1" applyFill="1" applyBorder="1" applyAlignment="1">
      <alignment horizontal="center" wrapText="1"/>
    </xf>
    <xf numFmtId="2" fontId="22" fillId="124" borderId="0" xfId="0" applyNumberFormat="1" applyFont="1" applyFill="1" applyBorder="1" applyAlignment="1">
      <alignment horizontal="center" wrapText="1"/>
    </xf>
    <xf numFmtId="2" fontId="22" fillId="125" borderId="0" xfId="0" applyNumberFormat="1" applyFont="1" applyFill="1" applyBorder="1" applyAlignment="1">
      <alignment horizontal="center" wrapText="1"/>
    </xf>
    <xf numFmtId="2" fontId="22" fillId="78" borderId="0" xfId="0" applyNumberFormat="1" applyFont="1" applyFill="1" applyBorder="1" applyAlignment="1">
      <alignment horizontal="center" wrapText="1"/>
    </xf>
    <xf numFmtId="2" fontId="22" fillId="126" borderId="13" xfId="0" applyNumberFormat="1" applyFont="1" applyFill="1" applyBorder="1" applyAlignment="1">
      <alignment horizontal="center" wrapText="1"/>
    </xf>
    <xf numFmtId="2" fontId="22" fillId="128" borderId="14" xfId="0" applyNumberFormat="1" applyFont="1" applyFill="1" applyBorder="1" applyAlignment="1">
      <alignment horizontal="center" wrapText="1"/>
    </xf>
    <xf numFmtId="2" fontId="22" fillId="129" borderId="0" xfId="0" applyNumberFormat="1" applyFont="1" applyFill="1" applyBorder="1" applyAlignment="1">
      <alignment horizontal="center" wrapText="1"/>
    </xf>
    <xf numFmtId="2" fontId="22" fillId="70" borderId="0" xfId="0" applyNumberFormat="1" applyFont="1" applyFill="1" applyBorder="1" applyAlignment="1">
      <alignment horizontal="center" wrapText="1"/>
    </xf>
    <xf numFmtId="2" fontId="22" fillId="130" borderId="13" xfId="0" applyNumberFormat="1" applyFont="1" applyFill="1" applyBorder="1" applyAlignment="1">
      <alignment horizontal="center" wrapText="1"/>
    </xf>
    <xf numFmtId="2" fontId="22" fillId="131" borderId="14" xfId="0" applyNumberFormat="1" applyFont="1" applyFill="1" applyBorder="1" applyAlignment="1">
      <alignment horizontal="center" wrapText="1"/>
    </xf>
    <xf numFmtId="2" fontId="22" fillId="132" borderId="0" xfId="0" applyNumberFormat="1" applyFont="1" applyFill="1" applyBorder="1" applyAlignment="1">
      <alignment horizontal="center" wrapText="1"/>
    </xf>
    <xf numFmtId="2" fontId="22" fillId="133" borderId="0" xfId="0" applyNumberFormat="1" applyFont="1" applyFill="1" applyBorder="1" applyAlignment="1">
      <alignment horizontal="center" wrapText="1"/>
    </xf>
    <xf numFmtId="2" fontId="22" fillId="84" borderId="13" xfId="0" applyNumberFormat="1" applyFont="1" applyFill="1" applyBorder="1" applyAlignment="1">
      <alignment horizontal="center" wrapText="1"/>
    </xf>
    <xf numFmtId="2" fontId="22" fillId="134" borderId="14" xfId="0" applyNumberFormat="1" applyFont="1" applyFill="1" applyBorder="1" applyAlignment="1">
      <alignment horizontal="center" wrapText="1"/>
    </xf>
    <xf numFmtId="2" fontId="22" fillId="135" borderId="0" xfId="0" applyNumberFormat="1" applyFont="1" applyFill="1" applyBorder="1" applyAlignment="1">
      <alignment horizontal="center" wrapText="1"/>
    </xf>
    <xf numFmtId="2" fontId="22" fillId="117" borderId="0" xfId="0" applyNumberFormat="1" applyFont="1" applyFill="1" applyBorder="1" applyAlignment="1">
      <alignment horizontal="center" wrapText="1"/>
    </xf>
    <xf numFmtId="2" fontId="22" fillId="99" borderId="0" xfId="0" applyNumberFormat="1" applyFont="1" applyFill="1" applyBorder="1" applyAlignment="1">
      <alignment horizontal="center" wrapText="1"/>
    </xf>
    <xf numFmtId="2" fontId="22" fillId="140" borderId="14" xfId="0" applyNumberFormat="1" applyFont="1" applyFill="1" applyBorder="1" applyAlignment="1">
      <alignment horizontal="center" wrapText="1"/>
    </xf>
    <xf numFmtId="2" fontId="22" fillId="136" borderId="0" xfId="0" applyNumberFormat="1" applyFont="1" applyFill="1" applyBorder="1" applyAlignment="1">
      <alignment horizontal="center" wrapText="1"/>
    </xf>
    <xf numFmtId="2" fontId="22" fillId="90" borderId="0" xfId="0" applyNumberFormat="1" applyFont="1" applyFill="1" applyBorder="1" applyAlignment="1">
      <alignment horizontal="center" wrapText="1"/>
    </xf>
    <xf numFmtId="2" fontId="22" fillId="141" borderId="13" xfId="0" applyNumberFormat="1" applyFont="1" applyFill="1" applyBorder="1" applyAlignment="1">
      <alignment horizontal="center" wrapText="1"/>
    </xf>
    <xf numFmtId="2" fontId="22" fillId="128" borderId="0" xfId="0" applyNumberFormat="1" applyFont="1" applyFill="1" applyBorder="1" applyAlignment="1">
      <alignment horizontal="center" wrapText="1"/>
    </xf>
    <xf numFmtId="2" fontId="22" fillId="108" borderId="0" xfId="0" applyNumberFormat="1" applyFont="1" applyFill="1" applyBorder="1" applyAlignment="1">
      <alignment horizontal="center" wrapText="1"/>
    </xf>
    <xf numFmtId="2" fontId="22" fillId="88" borderId="0" xfId="0" applyNumberFormat="1" applyFont="1" applyFill="1" applyBorder="1" applyAlignment="1">
      <alignment horizontal="center" wrapText="1"/>
    </xf>
    <xf numFmtId="2" fontId="22" fillId="144" borderId="0" xfId="0" applyNumberFormat="1" applyFont="1" applyFill="1" applyBorder="1" applyAlignment="1">
      <alignment horizontal="center" wrapText="1"/>
    </xf>
    <xf numFmtId="2" fontId="22" fillId="145" borderId="13" xfId="0" applyNumberFormat="1" applyFont="1" applyFill="1" applyBorder="1" applyAlignment="1">
      <alignment horizontal="center" wrapText="1"/>
    </xf>
    <xf numFmtId="2" fontId="22" fillId="147" borderId="0" xfId="0" applyNumberFormat="1" applyFont="1" applyFill="1" applyBorder="1" applyAlignment="1">
      <alignment horizontal="center" wrapText="1"/>
    </xf>
    <xf numFmtId="2" fontId="22" fillId="148" borderId="0" xfId="0" applyNumberFormat="1" applyFont="1" applyFill="1" applyBorder="1" applyAlignment="1">
      <alignment horizontal="center" wrapText="1"/>
    </xf>
    <xf numFmtId="2" fontId="22" fillId="112" borderId="0" xfId="0" applyNumberFormat="1" applyFont="1" applyFill="1" applyBorder="1" applyAlignment="1">
      <alignment horizontal="center" wrapText="1"/>
    </xf>
    <xf numFmtId="2" fontId="22" fillId="112" borderId="13" xfId="0" applyNumberFormat="1" applyFont="1" applyFill="1" applyBorder="1" applyAlignment="1">
      <alignment horizontal="center" wrapText="1"/>
    </xf>
    <xf numFmtId="2" fontId="22" fillId="153" borderId="14" xfId="0" applyNumberFormat="1" applyFont="1" applyFill="1" applyBorder="1" applyAlignment="1">
      <alignment horizontal="center" wrapText="1"/>
    </xf>
    <xf numFmtId="2" fontId="22" fillId="153" borderId="0" xfId="0" applyNumberFormat="1" applyFont="1" applyFill="1" applyBorder="1" applyAlignment="1">
      <alignment horizontal="center" wrapText="1"/>
    </xf>
    <xf numFmtId="2" fontId="22" fillId="154" borderId="0" xfId="0" applyNumberFormat="1" applyFont="1" applyFill="1" applyBorder="1" applyAlignment="1">
      <alignment horizontal="center" wrapText="1"/>
    </xf>
    <xf numFmtId="2" fontId="22" fillId="155" borderId="0" xfId="0" applyNumberFormat="1" applyFont="1" applyFill="1" applyBorder="1" applyAlignment="1">
      <alignment horizontal="center" wrapText="1"/>
    </xf>
    <xf numFmtId="2" fontId="22" fillId="50" borderId="0" xfId="0" applyNumberFormat="1" applyFont="1" applyFill="1" applyBorder="1" applyAlignment="1">
      <alignment horizontal="center" wrapText="1"/>
    </xf>
    <xf numFmtId="2" fontId="22" fillId="41" borderId="13" xfId="0" applyNumberFormat="1" applyFont="1" applyFill="1" applyBorder="1" applyAlignment="1">
      <alignment horizontal="center" wrapText="1"/>
    </xf>
    <xf numFmtId="2" fontId="22" fillId="159" borderId="14" xfId="0" applyNumberFormat="1" applyFont="1" applyFill="1" applyBorder="1" applyAlignment="1">
      <alignment horizontal="center" wrapText="1"/>
    </xf>
    <xf numFmtId="2" fontId="22" fillId="160" borderId="0" xfId="0" applyNumberFormat="1" applyFont="1" applyFill="1" applyBorder="1" applyAlignment="1">
      <alignment horizontal="center" wrapText="1"/>
    </xf>
    <xf numFmtId="2" fontId="22" fillId="161" borderId="0" xfId="0" applyNumberFormat="1" applyFont="1" applyFill="1" applyBorder="1" applyAlignment="1">
      <alignment horizontal="center" wrapText="1"/>
    </xf>
    <xf numFmtId="2" fontId="22" fillId="162" borderId="13" xfId="0" applyNumberFormat="1" applyFont="1" applyFill="1" applyBorder="1" applyAlignment="1">
      <alignment horizontal="center" wrapText="1"/>
    </xf>
    <xf numFmtId="2" fontId="22" fillId="167" borderId="14" xfId="0" applyNumberFormat="1" applyFont="1" applyFill="1" applyBorder="1" applyAlignment="1">
      <alignment horizontal="center" wrapText="1"/>
    </xf>
    <xf numFmtId="2" fontId="22" fillId="168" borderId="0" xfId="0" applyNumberFormat="1" applyFont="1" applyFill="1" applyBorder="1" applyAlignment="1">
      <alignment horizontal="center" wrapText="1"/>
    </xf>
    <xf numFmtId="2" fontId="22" fillId="169" borderId="0" xfId="0" applyNumberFormat="1" applyFont="1" applyFill="1" applyBorder="1" applyAlignment="1">
      <alignment horizontal="center" wrapText="1"/>
    </xf>
    <xf numFmtId="2" fontId="22" fillId="170" borderId="0" xfId="0" applyNumberFormat="1" applyFont="1" applyFill="1" applyBorder="1" applyAlignment="1">
      <alignment horizontal="center" wrapText="1"/>
    </xf>
    <xf numFmtId="2" fontId="22" fillId="174" borderId="14" xfId="0" applyNumberFormat="1" applyFont="1" applyFill="1" applyBorder="1" applyAlignment="1">
      <alignment horizontal="center" wrapText="1"/>
    </xf>
    <xf numFmtId="2" fontId="22" fillId="175" borderId="0" xfId="0" applyNumberFormat="1" applyFont="1" applyFill="1" applyBorder="1" applyAlignment="1">
      <alignment horizontal="center" wrapText="1"/>
    </xf>
    <xf numFmtId="2" fontId="22" fillId="176" borderId="0" xfId="0" applyNumberFormat="1" applyFont="1" applyFill="1" applyBorder="1" applyAlignment="1">
      <alignment horizontal="center" wrapText="1"/>
    </xf>
    <xf numFmtId="2" fontId="22" fillId="74" borderId="13" xfId="0" applyNumberFormat="1" applyFont="1" applyFill="1" applyBorder="1" applyAlignment="1">
      <alignment horizontal="center" wrapText="1"/>
    </xf>
    <xf numFmtId="2" fontId="22" fillId="177" borderId="14" xfId="0" applyNumberFormat="1" applyFont="1" applyFill="1" applyBorder="1" applyAlignment="1">
      <alignment horizontal="center" wrapText="1"/>
    </xf>
    <xf numFmtId="2" fontId="22" fillId="178" borderId="0" xfId="0" applyNumberFormat="1" applyFont="1" applyFill="1" applyBorder="1" applyAlignment="1">
      <alignment horizontal="center" wrapText="1"/>
    </xf>
    <xf numFmtId="2" fontId="22" fillId="179" borderId="0" xfId="0" applyNumberFormat="1" applyFont="1" applyFill="1" applyBorder="1" applyAlignment="1">
      <alignment horizontal="center" wrapText="1"/>
    </xf>
    <xf numFmtId="2" fontId="22" fillId="142" borderId="0" xfId="0" applyNumberFormat="1" applyFont="1" applyFill="1" applyBorder="1" applyAlignment="1">
      <alignment horizontal="center" wrapText="1"/>
    </xf>
    <xf numFmtId="2" fontId="22" fillId="182" borderId="14" xfId="0" applyNumberFormat="1" applyFont="1" applyFill="1" applyBorder="1" applyAlignment="1">
      <alignment horizontal="center" wrapText="1"/>
    </xf>
    <xf numFmtId="2" fontId="22" fillId="165" borderId="0" xfId="0" applyNumberFormat="1" applyFont="1" applyFill="1" applyBorder="1" applyAlignment="1">
      <alignment horizontal="center" wrapText="1"/>
    </xf>
    <xf numFmtId="2" fontId="22" fillId="168" borderId="14" xfId="0" applyNumberFormat="1" applyFont="1" applyFill="1" applyBorder="1" applyAlignment="1">
      <alignment horizontal="center" wrapText="1"/>
    </xf>
    <xf numFmtId="2" fontId="22" fillId="183" borderId="0" xfId="0" applyNumberFormat="1" applyFont="1" applyFill="1" applyBorder="1" applyAlignment="1">
      <alignment horizontal="center" wrapText="1"/>
    </xf>
    <xf numFmtId="2" fontId="22" fillId="184" borderId="0" xfId="0" applyNumberFormat="1" applyFont="1" applyFill="1" applyBorder="1" applyAlignment="1">
      <alignment horizontal="center" wrapText="1"/>
    </xf>
    <xf numFmtId="2" fontId="22" fillId="185" borderId="13" xfId="0" applyNumberFormat="1" applyFont="1" applyFill="1" applyBorder="1" applyAlignment="1">
      <alignment horizontal="center" wrapText="1"/>
    </xf>
    <xf numFmtId="2" fontId="22" fillId="187" borderId="0" xfId="0" applyNumberFormat="1" applyFont="1" applyFill="1" applyBorder="1" applyAlignment="1">
      <alignment horizontal="center" wrapText="1"/>
    </xf>
    <xf numFmtId="2" fontId="22" fillId="188" borderId="0" xfId="0" applyNumberFormat="1" applyFont="1" applyFill="1" applyBorder="1" applyAlignment="1">
      <alignment horizontal="center" wrapText="1"/>
    </xf>
    <xf numFmtId="2" fontId="22" fillId="41" borderId="0" xfId="0" applyNumberFormat="1" applyFont="1" applyFill="1" applyBorder="1" applyAlignment="1">
      <alignment horizontal="center" wrapText="1"/>
    </xf>
    <xf numFmtId="2" fontId="22" fillId="190" borderId="14" xfId="0" applyNumberFormat="1" applyFont="1" applyFill="1" applyBorder="1" applyAlignment="1">
      <alignment horizontal="center" wrapText="1"/>
    </xf>
    <xf numFmtId="2" fontId="22" fillId="193" borderId="14" xfId="0" applyNumberFormat="1" applyFont="1" applyFill="1" applyBorder="1" applyAlignment="1">
      <alignment horizontal="center" wrapText="1"/>
    </xf>
    <xf numFmtId="2" fontId="22" fillId="194" borderId="0" xfId="0" applyNumberFormat="1" applyFont="1" applyFill="1" applyBorder="1" applyAlignment="1">
      <alignment horizontal="center" wrapText="1"/>
    </xf>
    <xf numFmtId="2" fontId="22" fillId="195" borderId="0" xfId="0" applyNumberFormat="1" applyFont="1" applyFill="1" applyBorder="1" applyAlignment="1">
      <alignment horizontal="center" wrapText="1"/>
    </xf>
    <xf numFmtId="2" fontId="22" fillId="76" borderId="0" xfId="0" applyNumberFormat="1" applyFont="1" applyFill="1" applyBorder="1" applyAlignment="1">
      <alignment horizontal="center" wrapText="1"/>
    </xf>
    <xf numFmtId="2" fontId="22" fillId="103" borderId="13" xfId="0" applyNumberFormat="1" applyFont="1" applyFill="1" applyBorder="1" applyAlignment="1">
      <alignment horizontal="center" wrapText="1"/>
    </xf>
    <xf numFmtId="2" fontId="22" fillId="199" borderId="14" xfId="0" applyNumberFormat="1" applyFont="1" applyFill="1" applyBorder="1" applyAlignment="1">
      <alignment horizontal="center" wrapText="1"/>
    </xf>
    <xf numFmtId="2" fontId="22" fillId="200" borderId="0" xfId="0" applyNumberFormat="1" applyFont="1" applyFill="1" applyBorder="1" applyAlignment="1">
      <alignment horizontal="center" wrapText="1"/>
    </xf>
    <xf numFmtId="2" fontId="22" fillId="201" borderId="0" xfId="0" applyNumberFormat="1" applyFont="1" applyFill="1" applyBorder="1" applyAlignment="1">
      <alignment horizontal="center" wrapText="1"/>
    </xf>
    <xf numFmtId="2" fontId="22" fillId="98" borderId="13" xfId="0" applyNumberFormat="1" applyFont="1" applyFill="1" applyBorder="1" applyAlignment="1">
      <alignment horizontal="center" wrapText="1"/>
    </xf>
    <xf numFmtId="2" fontId="22" fillId="133" borderId="14" xfId="0" applyNumberFormat="1" applyFont="1" applyFill="1" applyBorder="1" applyAlignment="1">
      <alignment horizontal="center" wrapText="1"/>
    </xf>
    <xf numFmtId="2" fontId="22" fillId="202" borderId="0" xfId="0" applyNumberFormat="1" applyFont="1" applyFill="1" applyBorder="1" applyAlignment="1">
      <alignment horizontal="center" wrapText="1"/>
    </xf>
    <xf numFmtId="2" fontId="22" fillId="203" borderId="0" xfId="0" applyNumberFormat="1" applyFont="1" applyFill="1" applyBorder="1" applyAlignment="1">
      <alignment horizontal="center" wrapText="1"/>
    </xf>
    <xf numFmtId="2" fontId="22" fillId="189" borderId="0" xfId="0" applyNumberFormat="1" applyFont="1" applyFill="1" applyBorder="1" applyAlignment="1">
      <alignment horizontal="center" wrapText="1"/>
    </xf>
    <xf numFmtId="2" fontId="22" fillId="118" borderId="14" xfId="0" applyNumberFormat="1" applyFont="1" applyFill="1" applyBorder="1" applyAlignment="1">
      <alignment horizontal="center" wrapText="1"/>
    </xf>
    <xf numFmtId="2" fontId="22" fillId="204" borderId="0" xfId="0" applyNumberFormat="1" applyFont="1" applyFill="1" applyBorder="1" applyAlignment="1">
      <alignment horizontal="center" wrapText="1"/>
    </xf>
    <xf numFmtId="2" fontId="22" fillId="205" borderId="0" xfId="0" applyNumberFormat="1" applyFont="1" applyFill="1" applyBorder="1" applyAlignment="1">
      <alignment horizontal="center" wrapText="1"/>
    </xf>
    <xf numFmtId="2" fontId="22" fillId="206" borderId="0" xfId="0" applyNumberFormat="1" applyFont="1" applyFill="1" applyBorder="1" applyAlignment="1">
      <alignment horizontal="center" wrapText="1"/>
    </xf>
    <xf numFmtId="2" fontId="22" fillId="120" borderId="0" xfId="0" applyNumberFormat="1" applyFont="1" applyFill="1" applyBorder="1" applyAlignment="1">
      <alignment horizontal="center" wrapText="1"/>
    </xf>
    <xf numFmtId="2" fontId="22" fillId="147" borderId="14" xfId="0" applyNumberFormat="1" applyFont="1" applyFill="1" applyBorder="1" applyAlignment="1">
      <alignment horizontal="center" wrapText="1"/>
    </xf>
    <xf numFmtId="2" fontId="22" fillId="207" borderId="0" xfId="0" applyNumberFormat="1" applyFont="1" applyFill="1" applyBorder="1" applyAlignment="1">
      <alignment horizontal="center" wrapText="1"/>
    </xf>
    <xf numFmtId="2" fontId="22" fillId="53" borderId="0" xfId="0" applyNumberFormat="1" applyFont="1" applyFill="1" applyBorder="1" applyAlignment="1">
      <alignment horizontal="center" wrapText="1"/>
    </xf>
    <xf numFmtId="2" fontId="22" fillId="121" borderId="0" xfId="0" applyNumberFormat="1" applyFont="1" applyFill="1" applyBorder="1" applyAlignment="1">
      <alignment horizontal="center" wrapText="1"/>
    </xf>
    <xf numFmtId="2" fontId="22" fillId="99" borderId="13" xfId="0" applyNumberFormat="1" applyFont="1" applyFill="1" applyBorder="1" applyAlignment="1">
      <alignment horizontal="center" wrapText="1"/>
    </xf>
    <xf numFmtId="2" fontId="22" fillId="209" borderId="0" xfId="0" applyNumberFormat="1" applyFont="1" applyFill="1" applyBorder="1" applyAlignment="1">
      <alignment horizontal="center" wrapText="1"/>
    </xf>
    <xf numFmtId="2" fontId="22" fillId="114" borderId="0" xfId="0" applyNumberFormat="1" applyFont="1" applyFill="1" applyBorder="1" applyAlignment="1">
      <alignment horizontal="center" wrapText="1"/>
    </xf>
    <xf numFmtId="2" fontId="22" fillId="157" borderId="0" xfId="0" applyNumberFormat="1" applyFont="1" applyFill="1" applyBorder="1" applyAlignment="1">
      <alignment horizontal="center" wrapText="1"/>
    </xf>
    <xf numFmtId="2" fontId="22" fillId="85" borderId="13" xfId="0" applyNumberFormat="1" applyFont="1" applyFill="1" applyBorder="1" applyAlignment="1">
      <alignment horizontal="center" wrapText="1"/>
    </xf>
    <xf numFmtId="2" fontId="22" fillId="129" borderId="14" xfId="0" applyNumberFormat="1" applyFont="1" applyFill="1" applyBorder="1" applyAlignment="1">
      <alignment horizontal="center" wrapText="1"/>
    </xf>
    <xf numFmtId="2" fontId="22" fillId="212" borderId="0" xfId="0" applyNumberFormat="1" applyFont="1" applyFill="1" applyBorder="1" applyAlignment="1">
      <alignment horizontal="center" wrapText="1"/>
    </xf>
    <xf numFmtId="2" fontId="22" fillId="213" borderId="13" xfId="0" applyNumberFormat="1" applyFont="1" applyFill="1" applyBorder="1" applyAlignment="1">
      <alignment horizontal="center" wrapText="1"/>
    </xf>
    <xf numFmtId="2" fontId="22" fillId="204" borderId="14" xfId="0" applyNumberFormat="1" applyFont="1" applyFill="1" applyBorder="1" applyAlignment="1">
      <alignment horizontal="center" wrapText="1"/>
    </xf>
    <xf numFmtId="2" fontId="22" fillId="51" borderId="0" xfId="0" applyNumberFormat="1" applyFont="1" applyFill="1" applyBorder="1" applyAlignment="1">
      <alignment horizontal="center" wrapText="1"/>
    </xf>
    <xf numFmtId="2" fontId="22" fillId="164" borderId="0" xfId="0" applyNumberFormat="1" applyFont="1" applyFill="1" applyBorder="1" applyAlignment="1">
      <alignment horizontal="center" wrapText="1"/>
    </xf>
    <xf numFmtId="2" fontId="22" fillId="67" borderId="13" xfId="0" applyNumberFormat="1" applyFont="1" applyFill="1" applyBorder="1" applyAlignment="1">
      <alignment horizontal="center" wrapText="1"/>
    </xf>
    <xf numFmtId="2" fontId="22" fillId="113" borderId="0" xfId="0" applyNumberFormat="1" applyFont="1" applyFill="1" applyBorder="1" applyAlignment="1">
      <alignment horizontal="center" wrapText="1"/>
    </xf>
    <xf numFmtId="2" fontId="22" fillId="51" borderId="13" xfId="0" applyNumberFormat="1" applyFont="1" applyFill="1" applyBorder="1" applyAlignment="1">
      <alignment horizontal="center" wrapText="1"/>
    </xf>
    <xf numFmtId="2" fontId="22" fillId="216" borderId="0" xfId="0" applyNumberFormat="1" applyFont="1" applyFill="1" applyBorder="1" applyAlignment="1">
      <alignment horizontal="center" wrapText="1"/>
    </xf>
    <xf numFmtId="2" fontId="22" fillId="217" borderId="0" xfId="0" applyNumberFormat="1" applyFont="1" applyFill="1" applyBorder="1" applyAlignment="1">
      <alignment horizontal="center" wrapText="1"/>
    </xf>
    <xf numFmtId="2" fontId="22" fillId="214" borderId="0" xfId="0" applyNumberFormat="1" applyFont="1" applyFill="1" applyBorder="1" applyAlignment="1">
      <alignment horizontal="center" wrapText="1"/>
    </xf>
    <xf numFmtId="2" fontId="22" fillId="154" borderId="14" xfId="0" applyNumberFormat="1" applyFont="1" applyFill="1" applyBorder="1" applyAlignment="1">
      <alignment horizontal="center" wrapText="1"/>
    </xf>
    <xf numFmtId="2" fontId="22" fillId="134" borderId="0" xfId="0" applyNumberFormat="1" applyFont="1" applyFill="1" applyBorder="1" applyAlignment="1">
      <alignment horizontal="center" wrapText="1"/>
    </xf>
    <xf numFmtId="2" fontId="22" fillId="159" borderId="0" xfId="0" applyNumberFormat="1" applyFont="1" applyFill="1" applyBorder="1" applyAlignment="1">
      <alignment horizontal="center" wrapText="1"/>
    </xf>
    <xf numFmtId="2" fontId="22" fillId="59" borderId="0" xfId="0" applyNumberFormat="1" applyFont="1" applyFill="1" applyBorder="1" applyAlignment="1">
      <alignment horizontal="center" wrapText="1"/>
    </xf>
    <xf numFmtId="2" fontId="22" fillId="142" borderId="13" xfId="0" applyNumberFormat="1" applyFont="1" applyFill="1" applyBorder="1" applyAlignment="1">
      <alignment horizontal="center" wrapText="1"/>
    </xf>
    <xf numFmtId="2" fontId="22" fillId="219" borderId="0" xfId="0" applyNumberFormat="1" applyFont="1" applyFill="1" applyBorder="1" applyAlignment="1">
      <alignment horizontal="center" wrapText="1"/>
    </xf>
    <xf numFmtId="2" fontId="22" fillId="220" borderId="0" xfId="0" applyNumberFormat="1" applyFont="1" applyFill="1" applyBorder="1" applyAlignment="1">
      <alignment horizontal="center" wrapText="1"/>
    </xf>
    <xf numFmtId="2" fontId="22" fillId="211" borderId="13" xfId="0" applyNumberFormat="1" applyFont="1" applyFill="1" applyBorder="1" applyAlignment="1">
      <alignment horizontal="center" wrapText="1"/>
    </xf>
    <xf numFmtId="2" fontId="22" fillId="223" borderId="14" xfId="0" applyNumberFormat="1" applyFont="1" applyFill="1" applyBorder="1" applyAlignment="1">
      <alignment horizontal="center" wrapText="1"/>
    </xf>
    <xf numFmtId="2" fontId="22" fillId="224" borderId="0" xfId="0" applyNumberFormat="1" applyFont="1" applyFill="1" applyBorder="1" applyAlignment="1">
      <alignment horizontal="center" wrapText="1"/>
    </xf>
    <xf numFmtId="2" fontId="22" fillId="67" borderId="0" xfId="0" applyNumberFormat="1" applyFont="1" applyFill="1" applyBorder="1" applyAlignment="1">
      <alignment horizontal="center" wrapText="1"/>
    </xf>
    <xf numFmtId="2" fontId="22" fillId="58" borderId="0" xfId="0" applyNumberFormat="1" applyFont="1" applyFill="1" applyBorder="1" applyAlignment="1">
      <alignment horizontal="center" wrapText="1"/>
    </xf>
    <xf numFmtId="2" fontId="22" fillId="229" borderId="0" xfId="0" applyNumberFormat="1" applyFont="1" applyFill="1" applyBorder="1" applyAlignment="1">
      <alignment horizontal="center" wrapText="1"/>
    </xf>
    <xf numFmtId="2" fontId="22" fillId="163" borderId="0" xfId="0" applyNumberFormat="1" applyFont="1" applyFill="1" applyBorder="1" applyAlignment="1">
      <alignment horizontal="center" wrapText="1"/>
    </xf>
    <xf numFmtId="2" fontId="22" fillId="192" borderId="13" xfId="0" applyNumberFormat="1" applyFont="1" applyFill="1" applyBorder="1" applyAlignment="1">
      <alignment horizontal="center" wrapText="1"/>
    </xf>
    <xf numFmtId="2" fontId="22" fillId="232" borderId="14" xfId="0" applyNumberFormat="1" applyFont="1" applyFill="1" applyBorder="1" applyAlignment="1">
      <alignment horizontal="center" wrapText="1"/>
    </xf>
    <xf numFmtId="2" fontId="22" fillId="233" borderId="0" xfId="0" applyNumberFormat="1" applyFont="1" applyFill="1" applyBorder="1" applyAlignment="1">
      <alignment horizontal="center" wrapText="1"/>
    </xf>
    <xf numFmtId="2" fontId="22" fillId="69" borderId="0" xfId="0" applyNumberFormat="1" applyFont="1" applyFill="1" applyBorder="1" applyAlignment="1">
      <alignment horizontal="center" wrapText="1"/>
    </xf>
    <xf numFmtId="2" fontId="22" fillId="57" borderId="0" xfId="0" applyNumberFormat="1" applyFont="1" applyFill="1" applyBorder="1" applyAlignment="1">
      <alignment horizontal="center" wrapText="1"/>
    </xf>
    <xf numFmtId="2" fontId="22" fillId="123" borderId="14" xfId="0" applyNumberFormat="1" applyFont="1" applyFill="1" applyBorder="1" applyAlignment="1">
      <alignment horizontal="center" wrapText="1"/>
    </xf>
    <xf numFmtId="2" fontId="22" fillId="238" borderId="0" xfId="0" applyNumberFormat="1" applyFont="1" applyFill="1" applyBorder="1" applyAlignment="1">
      <alignment horizontal="center" wrapText="1"/>
    </xf>
    <xf numFmtId="2" fontId="22" fillId="239" borderId="0" xfId="0" applyNumberFormat="1" applyFont="1" applyFill="1" applyBorder="1" applyAlignment="1">
      <alignment horizontal="center" wrapText="1"/>
    </xf>
    <xf numFmtId="2" fontId="22" fillId="115" borderId="0" xfId="0" applyNumberFormat="1" applyFont="1" applyFill="1" applyBorder="1" applyAlignment="1">
      <alignment horizontal="center" wrapText="1"/>
    </xf>
    <xf numFmtId="2" fontId="22" fillId="240" borderId="0" xfId="0" applyNumberFormat="1" applyFont="1" applyFill="1" applyBorder="1" applyAlignment="1">
      <alignment horizontal="center" wrapText="1"/>
    </xf>
    <xf numFmtId="2" fontId="22" fillId="50" borderId="13" xfId="0" applyNumberFormat="1" applyFont="1" applyFill="1" applyBorder="1" applyAlignment="1">
      <alignment horizontal="center" wrapText="1"/>
    </xf>
    <xf numFmtId="2" fontId="22" fillId="209" borderId="14" xfId="0" applyNumberFormat="1" applyFont="1" applyFill="1" applyBorder="1" applyAlignment="1">
      <alignment horizontal="center" wrapText="1"/>
    </xf>
    <xf numFmtId="2" fontId="22" fillId="242" borderId="0" xfId="0" applyNumberFormat="1" applyFont="1" applyFill="1" applyBorder="1" applyAlignment="1">
      <alignment horizontal="center" wrapText="1"/>
    </xf>
    <xf numFmtId="2" fontId="22" fillId="245" borderId="0" xfId="0" applyNumberFormat="1" applyFont="1" applyFill="1" applyBorder="1" applyAlignment="1">
      <alignment horizontal="center" wrapText="1"/>
    </xf>
    <xf numFmtId="2" fontId="22" fillId="243" borderId="0" xfId="0" applyNumberFormat="1" applyFont="1" applyFill="1" applyBorder="1" applyAlignment="1">
      <alignment horizontal="center" wrapText="1"/>
    </xf>
    <xf numFmtId="2" fontId="22" fillId="207" borderId="14" xfId="0" applyNumberFormat="1" applyFont="1" applyFill="1" applyBorder="1" applyAlignment="1">
      <alignment horizontal="center" wrapText="1"/>
    </xf>
    <xf numFmtId="2" fontId="22" fillId="250" borderId="0" xfId="0" applyNumberFormat="1" applyFont="1" applyFill="1" applyBorder="1" applyAlignment="1">
      <alignment horizontal="center" wrapText="1"/>
    </xf>
    <xf numFmtId="2" fontId="22" fillId="198" borderId="0" xfId="0" applyNumberFormat="1" applyFont="1" applyFill="1" applyBorder="1" applyAlignment="1">
      <alignment horizontal="center" wrapText="1"/>
    </xf>
    <xf numFmtId="2" fontId="22" fillId="139" borderId="13" xfId="0" applyNumberFormat="1" applyFont="1" applyFill="1" applyBorder="1" applyAlignment="1">
      <alignment horizontal="center" wrapText="1"/>
    </xf>
    <xf numFmtId="2" fontId="22" fillId="216" borderId="14" xfId="0" applyNumberFormat="1" applyFont="1" applyFill="1" applyBorder="1" applyAlignment="1">
      <alignment horizontal="center" wrapText="1"/>
    </xf>
    <xf numFmtId="2" fontId="22" fillId="55" borderId="0" xfId="0" applyNumberFormat="1" applyFont="1" applyFill="1" applyBorder="1" applyAlignment="1">
      <alignment horizontal="center" wrapText="1"/>
    </xf>
    <xf numFmtId="2" fontId="22" fillId="40" borderId="0" xfId="0" applyNumberFormat="1" applyFont="1" applyFill="1" applyBorder="1" applyAlignment="1">
      <alignment horizontal="center" wrapText="1"/>
    </xf>
    <xf numFmtId="2" fontId="22" fillId="256" borderId="14" xfId="0" applyNumberFormat="1" applyFont="1" applyFill="1" applyBorder="1" applyAlignment="1">
      <alignment horizontal="center" wrapText="1"/>
    </xf>
    <xf numFmtId="2" fontId="22" fillId="257" borderId="0" xfId="0" applyNumberFormat="1" applyFont="1" applyFill="1" applyBorder="1" applyAlignment="1">
      <alignment horizontal="center" wrapText="1"/>
    </xf>
    <xf numFmtId="2" fontId="22" fillId="172" borderId="0" xfId="0" applyNumberFormat="1" applyFont="1" applyFill="1" applyBorder="1" applyAlignment="1">
      <alignment horizontal="center" wrapText="1"/>
    </xf>
    <xf numFmtId="2" fontId="22" fillId="165" borderId="13" xfId="0" applyNumberFormat="1" applyFont="1" applyFill="1" applyBorder="1" applyAlignment="1">
      <alignment horizontal="center" wrapText="1"/>
    </xf>
    <xf numFmtId="2" fontId="22" fillId="260" borderId="14" xfId="0" applyNumberFormat="1" applyFont="1" applyFill="1" applyBorder="1" applyAlignment="1">
      <alignment horizontal="center" wrapText="1"/>
    </xf>
    <xf numFmtId="2" fontId="22" fillId="182" borderId="0" xfId="0" applyNumberFormat="1" applyFont="1" applyFill="1" applyBorder="1" applyAlignment="1">
      <alignment horizontal="center" wrapText="1"/>
    </xf>
    <xf numFmtId="2" fontId="22" fillId="261" borderId="0" xfId="0" applyNumberFormat="1" applyFont="1" applyFill="1" applyBorder="1" applyAlignment="1">
      <alignment horizontal="center" wrapText="1"/>
    </xf>
    <xf numFmtId="2" fontId="22" fillId="254" borderId="0" xfId="0" applyNumberFormat="1" applyFont="1" applyFill="1" applyBorder="1" applyAlignment="1">
      <alignment horizontal="center" wrapText="1"/>
    </xf>
    <xf numFmtId="2" fontId="22" fillId="73" borderId="13" xfId="0" applyNumberFormat="1" applyFont="1" applyFill="1" applyBorder="1" applyAlignment="1">
      <alignment horizontal="center" wrapText="1"/>
    </xf>
    <xf numFmtId="2" fontId="22" fillId="81" borderId="0" xfId="0" applyNumberFormat="1" applyFont="1" applyFill="1" applyBorder="1" applyAlignment="1">
      <alignment horizontal="center" wrapText="1"/>
    </xf>
    <xf numFmtId="2" fontId="22" fillId="121" borderId="13" xfId="0" applyNumberFormat="1" applyFont="1" applyFill="1" applyBorder="1" applyAlignment="1">
      <alignment horizontal="center" wrapText="1"/>
    </xf>
    <xf numFmtId="2" fontId="22" fillId="135" borderId="14" xfId="0" applyNumberFormat="1" applyFont="1" applyFill="1" applyBorder="1" applyAlignment="1">
      <alignment horizontal="center" wrapText="1"/>
    </xf>
    <xf numFmtId="2" fontId="22" fillId="256" borderId="0" xfId="0" applyNumberFormat="1" applyFont="1" applyFill="1" applyBorder="1" applyAlignment="1">
      <alignment horizontal="center" wrapText="1"/>
    </xf>
    <xf numFmtId="2" fontId="22" fillId="258" borderId="0" xfId="0" applyNumberFormat="1" applyFont="1" applyFill="1" applyBorder="1" applyAlignment="1">
      <alignment horizontal="center" wrapText="1"/>
    </xf>
    <xf numFmtId="2" fontId="22" fillId="244" borderId="0" xfId="0" applyNumberFormat="1" applyFont="1" applyFill="1" applyBorder="1" applyAlignment="1">
      <alignment horizontal="center" wrapText="1"/>
    </xf>
    <xf numFmtId="2" fontId="22" fillId="270" borderId="0" xfId="0" applyNumberFormat="1" applyFont="1" applyFill="1" applyBorder="1" applyAlignment="1">
      <alignment horizontal="center" wrapText="1"/>
    </xf>
    <xf numFmtId="2" fontId="22" fillId="54" borderId="0" xfId="0" applyNumberFormat="1" applyFont="1" applyFill="1" applyBorder="1" applyAlignment="1">
      <alignment horizontal="center" wrapText="1"/>
    </xf>
    <xf numFmtId="2" fontId="22" fillId="39" borderId="13" xfId="0" applyNumberFormat="1" applyFont="1" applyFill="1" applyBorder="1" applyAlignment="1">
      <alignment horizontal="center" wrapText="1"/>
    </xf>
    <xf numFmtId="2" fontId="22" fillId="250" borderId="14" xfId="0" applyNumberFormat="1" applyFont="1" applyFill="1" applyBorder="1" applyAlignment="1">
      <alignment horizontal="center" wrapText="1"/>
    </xf>
    <xf numFmtId="2" fontId="22" fillId="271" borderId="0" xfId="0" applyNumberFormat="1" applyFont="1" applyFill="1" applyBorder="1" applyAlignment="1">
      <alignment horizontal="center" wrapText="1"/>
    </xf>
    <xf numFmtId="2" fontId="22" fillId="272" borderId="0" xfId="0" applyNumberFormat="1" applyFont="1" applyFill="1" applyBorder="1" applyAlignment="1">
      <alignment horizontal="center" wrapText="1"/>
    </xf>
    <xf numFmtId="2" fontId="22" fillId="89" borderId="0" xfId="0" applyNumberFormat="1" applyFont="1" applyFill="1" applyBorder="1" applyAlignment="1">
      <alignment horizontal="center" wrapText="1"/>
    </xf>
    <xf numFmtId="2" fontId="22" fillId="58" borderId="13" xfId="0" applyNumberFormat="1" applyFont="1" applyFill="1" applyBorder="1" applyAlignment="1">
      <alignment horizontal="center" wrapText="1"/>
    </xf>
    <xf numFmtId="2" fontId="22" fillId="150" borderId="14" xfId="0" applyNumberFormat="1" applyFont="1" applyFill="1" applyBorder="1" applyAlignment="1">
      <alignment horizontal="center" wrapText="1"/>
    </xf>
    <xf numFmtId="2" fontId="22" fillId="274" borderId="0" xfId="0" applyNumberFormat="1" applyFont="1" applyFill="1" applyBorder="1" applyAlignment="1">
      <alignment horizontal="center" wrapText="1"/>
    </xf>
    <xf numFmtId="2" fontId="22" fillId="106" borderId="0" xfId="0" applyNumberFormat="1" applyFont="1" applyFill="1" applyBorder="1" applyAlignment="1">
      <alignment horizontal="center" wrapText="1"/>
    </xf>
    <xf numFmtId="2" fontId="22" fillId="275" borderId="0" xfId="0" applyNumberFormat="1" applyFont="1" applyFill="1" applyBorder="1" applyAlignment="1">
      <alignment horizontal="center" wrapText="1"/>
    </xf>
    <xf numFmtId="2" fontId="22" fillId="70" borderId="13" xfId="0" applyNumberFormat="1" applyFont="1" applyFill="1" applyBorder="1" applyAlignment="1">
      <alignment horizontal="center" wrapText="1"/>
    </xf>
    <xf numFmtId="2" fontId="22" fillId="277" borderId="14" xfId="0" applyNumberFormat="1" applyFont="1" applyFill="1" applyBorder="1" applyAlignment="1">
      <alignment horizontal="center" wrapText="1"/>
    </xf>
    <xf numFmtId="2" fontId="22" fillId="260" borderId="0" xfId="0" applyNumberFormat="1" applyFont="1" applyFill="1" applyBorder="1" applyAlignment="1">
      <alignment horizontal="center" wrapText="1"/>
    </xf>
    <xf numFmtId="2" fontId="22" fillId="149" borderId="0" xfId="0" applyNumberFormat="1" applyFont="1" applyFill="1" applyBorder="1" applyAlignment="1">
      <alignment horizontal="center" wrapText="1"/>
    </xf>
    <xf numFmtId="2" fontId="22" fillId="278" borderId="13" xfId="0" applyNumberFormat="1" applyFont="1" applyFill="1" applyBorder="1" applyAlignment="1">
      <alignment horizontal="center" wrapText="1"/>
    </xf>
    <xf numFmtId="2" fontId="22" fillId="280" borderId="0" xfId="0" applyNumberFormat="1" applyFont="1" applyFill="1" applyBorder="1" applyAlignment="1">
      <alignment horizontal="center" wrapText="1"/>
    </xf>
    <xf numFmtId="2" fontId="22" fillId="98" borderId="0" xfId="0" applyNumberFormat="1" applyFont="1" applyFill="1" applyBorder="1" applyAlignment="1">
      <alignment horizontal="center" wrapText="1"/>
    </xf>
    <xf numFmtId="2" fontId="22" fillId="92" borderId="13" xfId="0" applyNumberFormat="1" applyFont="1" applyFill="1" applyBorder="1" applyAlignment="1">
      <alignment horizontal="center" wrapText="1"/>
    </xf>
    <xf numFmtId="2" fontId="22" fillId="283" borderId="14" xfId="0" applyNumberFormat="1" applyFont="1" applyFill="1" applyBorder="1" applyAlignment="1">
      <alignment horizontal="center" wrapText="1"/>
    </xf>
    <xf numFmtId="2" fontId="22" fillId="284" borderId="0" xfId="0" applyNumberFormat="1" applyFont="1" applyFill="1" applyBorder="1" applyAlignment="1">
      <alignment horizontal="center" wrapText="1"/>
    </xf>
    <xf numFmtId="2" fontId="22" fillId="156" borderId="0" xfId="0" applyNumberFormat="1" applyFont="1" applyFill="1" applyBorder="1" applyAlignment="1">
      <alignment horizontal="center" wrapText="1"/>
    </xf>
    <xf numFmtId="2" fontId="22" fillId="285" borderId="0" xfId="0" applyNumberFormat="1" applyFont="1" applyFill="1" applyBorder="1" applyAlignment="1">
      <alignment horizontal="center" wrapText="1"/>
    </xf>
    <xf numFmtId="2" fontId="22" fillId="150" borderId="13" xfId="0" applyNumberFormat="1" applyFont="1" applyFill="1" applyBorder="1" applyAlignment="1">
      <alignment horizontal="center" wrapText="1"/>
    </xf>
    <xf numFmtId="2" fontId="22" fillId="287" borderId="0" xfId="0" applyNumberFormat="1" applyFont="1" applyFill="1" applyBorder="1" applyAlignment="1">
      <alignment horizontal="center" wrapText="1"/>
    </xf>
    <xf numFmtId="2" fontId="22" fillId="161" borderId="14" xfId="0" applyNumberFormat="1" applyFont="1" applyFill="1" applyBorder="1" applyAlignment="1">
      <alignment horizontal="center" wrapText="1"/>
    </xf>
    <xf numFmtId="2" fontId="22" fillId="290" borderId="0" xfId="0" applyNumberFormat="1" applyFont="1" applyFill="1" applyBorder="1" applyAlignment="1">
      <alignment horizontal="center" wrapText="1"/>
    </xf>
    <xf numFmtId="2" fontId="22" fillId="177" borderId="0" xfId="0" applyNumberFormat="1" applyFont="1" applyFill="1" applyBorder="1" applyAlignment="1">
      <alignment horizontal="center" wrapText="1"/>
    </xf>
    <xf numFmtId="2" fontId="22" fillId="291" borderId="0" xfId="0" applyNumberFormat="1" applyFont="1" applyFill="1" applyBorder="1" applyAlignment="1">
      <alignment horizontal="center" wrapText="1"/>
    </xf>
    <xf numFmtId="2" fontId="22" fillId="292" borderId="0" xfId="0" applyNumberFormat="1" applyFont="1" applyFill="1" applyBorder="1" applyAlignment="1">
      <alignment horizontal="center" wrapText="1"/>
    </xf>
    <xf numFmtId="2" fontId="22" fillId="293" borderId="13" xfId="0" applyNumberFormat="1" applyFont="1" applyFill="1" applyBorder="1" applyAlignment="1">
      <alignment horizontal="center" wrapText="1"/>
    </xf>
    <xf numFmtId="2" fontId="22" fillId="295" borderId="14" xfId="0" applyNumberFormat="1" applyFont="1" applyFill="1" applyBorder="1" applyAlignment="1">
      <alignment horizontal="center" wrapText="1"/>
    </xf>
    <xf numFmtId="2" fontId="22" fillId="296" borderId="0" xfId="0" applyNumberFormat="1" applyFont="1" applyFill="1" applyBorder="1" applyAlignment="1">
      <alignment horizontal="center" wrapText="1"/>
    </xf>
    <xf numFmtId="2" fontId="22" fillId="295" borderId="0" xfId="0" applyNumberFormat="1" applyFont="1" applyFill="1" applyBorder="1" applyAlignment="1">
      <alignment horizontal="center" wrapText="1"/>
    </xf>
    <xf numFmtId="2" fontId="22" fillId="297" borderId="0" xfId="0" applyNumberFormat="1" applyFont="1" applyFill="1" applyBorder="1" applyAlignment="1">
      <alignment horizontal="center" wrapText="1"/>
    </xf>
    <xf numFmtId="2" fontId="22" fillId="298" borderId="0" xfId="0" applyNumberFormat="1" applyFont="1" applyFill="1" applyBorder="1" applyAlignment="1">
      <alignment horizontal="center" wrapText="1"/>
    </xf>
    <xf numFmtId="2" fontId="22" fillId="299" borderId="13" xfId="0" applyNumberFormat="1" applyFont="1" applyFill="1" applyBorder="1" applyAlignment="1">
      <alignment horizontal="center" wrapText="1"/>
    </xf>
    <xf numFmtId="2" fontId="22" fillId="302" borderId="0" xfId="0" applyNumberFormat="1" applyFont="1" applyFill="1" applyBorder="1" applyAlignment="1">
      <alignment horizontal="center" wrapText="1"/>
    </xf>
    <xf numFmtId="2" fontId="22" fillId="303" borderId="13" xfId="0" applyNumberFormat="1" applyFont="1" applyFill="1" applyBorder="1" applyAlignment="1">
      <alignment horizontal="center" wrapText="1"/>
    </xf>
    <xf numFmtId="2" fontId="22" fillId="257" borderId="14" xfId="0" applyNumberFormat="1" applyFont="1" applyFill="1" applyBorder="1" applyAlignment="1">
      <alignment horizontal="center" wrapText="1"/>
    </xf>
    <xf numFmtId="2" fontId="22" fillId="307" borderId="0" xfId="0" applyNumberFormat="1" applyFont="1" applyFill="1" applyBorder="1" applyAlignment="1">
      <alignment horizontal="center" wrapText="1"/>
    </xf>
    <xf numFmtId="2" fontId="22" fillId="308" borderId="0" xfId="0" applyNumberFormat="1" applyFont="1" applyFill="1" applyBorder="1" applyAlignment="1">
      <alignment horizontal="center" wrapText="1"/>
    </xf>
    <xf numFmtId="2" fontId="22" fillId="309" borderId="0" xfId="0" applyNumberFormat="1" applyFont="1" applyFill="1" applyBorder="1" applyAlignment="1">
      <alignment horizontal="center" wrapText="1"/>
    </xf>
    <xf numFmtId="2" fontId="22" fillId="310" borderId="13" xfId="0" applyNumberFormat="1" applyFont="1" applyFill="1" applyBorder="1" applyAlignment="1">
      <alignment horizontal="center" wrapText="1"/>
    </xf>
    <xf numFmtId="2" fontId="22" fillId="312" borderId="14" xfId="0" applyNumberFormat="1" applyFont="1" applyFill="1" applyBorder="1" applyAlignment="1">
      <alignment horizontal="center" wrapText="1"/>
    </xf>
    <xf numFmtId="2" fontId="22" fillId="313" borderId="0" xfId="0" applyNumberFormat="1" applyFont="1" applyFill="1" applyBorder="1" applyAlignment="1">
      <alignment horizontal="center" wrapText="1"/>
    </xf>
    <xf numFmtId="2" fontId="22" fillId="262" borderId="0" xfId="0" applyNumberFormat="1" applyFont="1" applyFill="1" applyBorder="1" applyAlignment="1">
      <alignment horizontal="center" wrapText="1"/>
    </xf>
    <xf numFmtId="2" fontId="22" fillId="314" borderId="13" xfId="0" applyNumberFormat="1" applyFont="1" applyFill="1" applyBorder="1" applyAlignment="1">
      <alignment horizontal="center" wrapText="1"/>
    </xf>
    <xf numFmtId="2" fontId="22" fillId="283" borderId="0" xfId="0" applyNumberFormat="1" applyFont="1" applyFill="1" applyBorder="1" applyAlignment="1">
      <alignment horizontal="center" wrapText="1"/>
    </xf>
    <xf numFmtId="2" fontId="22" fillId="251" borderId="0" xfId="0" applyNumberFormat="1" applyFont="1" applyFill="1" applyBorder="1" applyAlignment="1">
      <alignment horizontal="center" wrapText="1"/>
    </xf>
    <xf numFmtId="2" fontId="22" fillId="208" borderId="0" xfId="0" applyNumberFormat="1" applyFont="1" applyFill="1" applyBorder="1" applyAlignment="1">
      <alignment horizontal="center" wrapText="1"/>
    </xf>
    <xf numFmtId="2" fontId="22" fillId="243" borderId="13" xfId="0" applyNumberFormat="1" applyFont="1" applyFill="1" applyBorder="1" applyAlignment="1">
      <alignment horizontal="center" wrapText="1"/>
    </xf>
    <xf numFmtId="2" fontId="22" fillId="316" borderId="0" xfId="0" applyNumberFormat="1" applyFont="1" applyFill="1" applyBorder="1" applyAlignment="1">
      <alignment horizontal="center" wrapText="1"/>
    </xf>
    <xf numFmtId="2" fontId="22" fillId="254" borderId="13" xfId="0" applyNumberFormat="1" applyFont="1" applyFill="1" applyBorder="1" applyAlignment="1">
      <alignment horizontal="center" wrapText="1"/>
    </xf>
    <xf numFmtId="2" fontId="22" fillId="219" borderId="14" xfId="0" applyNumberFormat="1" applyFont="1" applyFill="1" applyBorder="1" applyAlignment="1">
      <alignment horizontal="center" wrapText="1"/>
    </xf>
    <xf numFmtId="2" fontId="22" fillId="247" borderId="0" xfId="0" applyNumberFormat="1" applyFont="1" applyFill="1" applyBorder="1" applyAlignment="1">
      <alignment horizontal="center" wrapText="1"/>
    </xf>
    <xf numFmtId="2" fontId="22" fillId="316" borderId="13" xfId="0" applyNumberFormat="1" applyFont="1" applyFill="1" applyBorder="1" applyAlignment="1">
      <alignment horizontal="center" wrapText="1"/>
    </xf>
    <xf numFmtId="2" fontId="22" fillId="202" borderId="14" xfId="0" applyNumberFormat="1" applyFont="1" applyFill="1" applyBorder="1" applyAlignment="1">
      <alignment horizontal="center" wrapText="1"/>
    </xf>
    <xf numFmtId="2" fontId="22" fillId="317" borderId="0" xfId="0" applyNumberFormat="1" applyFont="1" applyFill="1" applyBorder="1" applyAlignment="1">
      <alignment horizontal="center" wrapText="1"/>
    </xf>
    <xf numFmtId="2" fontId="22" fillId="318" borderId="0" xfId="0" applyNumberFormat="1" applyFont="1" applyFill="1" applyBorder="1" applyAlignment="1">
      <alignment horizontal="center" wrapText="1"/>
    </xf>
    <xf numFmtId="2" fontId="22" fillId="319" borderId="13" xfId="0" applyNumberFormat="1" applyFont="1" applyFill="1" applyBorder="1" applyAlignment="1">
      <alignment horizontal="center" wrapText="1"/>
    </xf>
    <xf numFmtId="2" fontId="22" fillId="171" borderId="0" xfId="0" applyNumberFormat="1" applyFont="1" applyFill="1" applyBorder="1" applyAlignment="1">
      <alignment horizontal="center" wrapText="1"/>
    </xf>
    <xf numFmtId="2" fontId="22" fillId="186" borderId="13" xfId="0" applyNumberFormat="1" applyFont="1" applyFill="1" applyBorder="1" applyAlignment="1">
      <alignment horizontal="center" wrapText="1"/>
    </xf>
    <xf numFmtId="2" fontId="22" fillId="212" borderId="14" xfId="0" applyNumberFormat="1" applyFont="1" applyFill="1" applyBorder="1" applyAlignment="1">
      <alignment horizontal="center" wrapText="1"/>
    </xf>
    <xf numFmtId="2" fontId="22" fillId="185" borderId="0" xfId="0" applyNumberFormat="1" applyFont="1" applyFill="1" applyBorder="1" applyAlignment="1">
      <alignment horizontal="center" wrapText="1"/>
    </xf>
    <xf numFmtId="2" fontId="22" fillId="53" borderId="13" xfId="0" applyNumberFormat="1" applyFont="1" applyFill="1" applyBorder="1" applyAlignment="1">
      <alignment horizontal="center" wrapText="1"/>
    </xf>
    <xf numFmtId="2" fontId="22" fillId="119" borderId="14" xfId="0" applyNumberFormat="1" applyFont="1" applyFill="1" applyBorder="1" applyAlignment="1">
      <alignment horizontal="center" wrapText="1"/>
    </xf>
    <xf numFmtId="2" fontId="22" fillId="323" borderId="0" xfId="0" applyNumberFormat="1" applyFont="1" applyFill="1" applyBorder="1" applyAlignment="1">
      <alignment horizontal="center" wrapText="1"/>
    </xf>
    <xf numFmtId="2" fontId="22" fillId="324" borderId="13" xfId="0" applyNumberFormat="1" applyFont="1" applyFill="1" applyBorder="1" applyAlignment="1">
      <alignment horizontal="center" wrapText="1"/>
    </xf>
    <xf numFmtId="2" fontId="22" fillId="326" borderId="0" xfId="0" applyNumberFormat="1" applyFont="1" applyFill="1" applyBorder="1" applyAlignment="1">
      <alignment horizontal="center" wrapText="1"/>
    </xf>
    <xf numFmtId="2" fontId="22" fillId="329" borderId="14" xfId="0" applyNumberFormat="1" applyFont="1" applyFill="1" applyBorder="1" applyAlignment="1">
      <alignment horizontal="center" wrapText="1"/>
    </xf>
    <xf numFmtId="2" fontId="22" fillId="330" borderId="0" xfId="0" applyNumberFormat="1" applyFont="1" applyFill="1" applyBorder="1" applyAlignment="1">
      <alignment horizontal="center" wrapText="1"/>
    </xf>
    <xf numFmtId="2" fontId="22" fillId="331" borderId="0" xfId="0" applyNumberFormat="1" applyFont="1" applyFill="1" applyBorder="1" applyAlignment="1">
      <alignment horizontal="center" wrapText="1"/>
    </xf>
    <xf numFmtId="2" fontId="22" fillId="235" borderId="13" xfId="0" applyNumberFormat="1" applyFont="1" applyFill="1" applyBorder="1" applyAlignment="1">
      <alignment horizontal="center" wrapText="1"/>
    </xf>
    <xf numFmtId="2" fontId="22" fillId="101" borderId="14" xfId="0" applyNumberFormat="1" applyFont="1" applyFill="1" applyBorder="1" applyAlignment="1">
      <alignment horizontal="center" wrapText="1"/>
    </xf>
    <xf numFmtId="2" fontId="22" fillId="332" borderId="0" xfId="0" applyNumberFormat="1" applyFont="1" applyFill="1" applyBorder="1" applyAlignment="1">
      <alignment horizontal="center" wrapText="1"/>
    </xf>
    <xf numFmtId="2" fontId="22" fillId="324" borderId="0" xfId="0" applyNumberFormat="1" applyFont="1" applyFill="1" applyBorder="1" applyAlignment="1">
      <alignment horizontal="center" wrapText="1"/>
    </xf>
    <xf numFmtId="2" fontId="22" fillId="333" borderId="0" xfId="0" applyNumberFormat="1" applyFont="1" applyFill="1" applyBorder="1" applyAlignment="1">
      <alignment horizontal="center" wrapText="1"/>
    </xf>
    <xf numFmtId="2" fontId="22" fillId="307" borderId="14" xfId="0" applyNumberFormat="1" applyFont="1" applyFill="1" applyBorder="1" applyAlignment="1">
      <alignment horizontal="center" wrapText="1"/>
    </xf>
    <xf numFmtId="2" fontId="22" fillId="308" borderId="13" xfId="0" applyNumberFormat="1" applyFont="1" applyFill="1" applyBorder="1" applyAlignment="1">
      <alignment horizontal="center" wrapText="1"/>
    </xf>
    <xf numFmtId="2" fontId="22" fillId="224" borderId="14" xfId="0" applyNumberFormat="1" applyFont="1" applyFill="1" applyBorder="1" applyAlignment="1">
      <alignment horizontal="center" wrapText="1"/>
    </xf>
    <xf numFmtId="2" fontId="22" fillId="334" borderId="0" xfId="0" applyNumberFormat="1" applyFont="1" applyFill="1" applyBorder="1" applyAlignment="1">
      <alignment horizontal="center" wrapText="1"/>
    </xf>
    <xf numFmtId="2" fontId="22" fillId="232" borderId="0" xfId="0" applyNumberFormat="1" applyFont="1" applyFill="1" applyBorder="1" applyAlignment="1">
      <alignment horizontal="center" wrapText="1"/>
    </xf>
    <xf numFmtId="2" fontId="22" fillId="203" borderId="13" xfId="0" applyNumberFormat="1" applyFont="1" applyFill="1" applyBorder="1" applyAlignment="1">
      <alignment horizontal="center" wrapText="1"/>
    </xf>
    <xf numFmtId="2" fontId="22" fillId="335" borderId="0" xfId="0" applyNumberFormat="1" applyFont="1" applyFill="1" applyBorder="1" applyAlignment="1">
      <alignment horizontal="center" wrapText="1"/>
    </xf>
    <xf numFmtId="2" fontId="22" fillId="221" borderId="13" xfId="0" applyNumberFormat="1" applyFont="1" applyFill="1" applyBorder="1" applyAlignment="1">
      <alignment horizontal="center" wrapText="1"/>
    </xf>
    <xf numFmtId="2" fontId="22" fillId="131" borderId="0" xfId="0" applyNumberFormat="1" applyFont="1" applyFill="1" applyBorder="1" applyAlignment="1">
      <alignment horizontal="center" wrapText="1"/>
    </xf>
    <xf numFmtId="2" fontId="22" fillId="336" borderId="0" xfId="0" applyNumberFormat="1" applyFont="1" applyFill="1" applyBorder="1" applyAlignment="1">
      <alignment horizontal="center" wrapText="1"/>
    </xf>
    <xf numFmtId="2" fontId="22" fillId="318" borderId="13" xfId="0" applyNumberFormat="1" applyFont="1" applyFill="1" applyBorder="1" applyAlignment="1">
      <alignment horizontal="center" wrapText="1"/>
    </xf>
    <xf numFmtId="2" fontId="22" fillId="338" borderId="0" xfId="0" applyNumberFormat="1" applyFont="1" applyFill="1" applyBorder="1" applyAlignment="1">
      <alignment horizontal="center" wrapText="1"/>
    </xf>
    <xf numFmtId="2" fontId="22" fillId="339" borderId="0" xfId="0" applyNumberFormat="1" applyFont="1" applyFill="1" applyBorder="1" applyAlignment="1">
      <alignment horizontal="center" wrapText="1"/>
    </xf>
    <xf numFmtId="2" fontId="22" fillId="340" borderId="0" xfId="0" applyNumberFormat="1" applyFont="1" applyFill="1" applyBorder="1" applyAlignment="1">
      <alignment horizontal="center" wrapText="1"/>
    </xf>
    <xf numFmtId="2" fontId="22" fillId="275" borderId="13" xfId="0" applyNumberFormat="1" applyFont="1" applyFill="1" applyBorder="1" applyAlignment="1">
      <alignment horizontal="center" wrapText="1"/>
    </xf>
    <xf numFmtId="2" fontId="22" fillId="290" borderId="14" xfId="0" applyNumberFormat="1" applyFont="1" applyFill="1" applyBorder="1" applyAlignment="1">
      <alignment horizontal="center" wrapText="1"/>
    </xf>
    <xf numFmtId="2" fontId="22" fillId="329" borderId="0" xfId="0" applyNumberFormat="1" applyFont="1" applyFill="1" applyBorder="1" applyAlignment="1">
      <alignment horizontal="center" wrapText="1"/>
    </xf>
    <xf numFmtId="2" fontId="22" fillId="303" borderId="0" xfId="0" applyNumberFormat="1" applyFont="1" applyFill="1" applyBorder="1" applyAlignment="1">
      <alignment horizontal="center" wrapText="1"/>
    </xf>
    <xf numFmtId="2" fontId="22" fillId="341" borderId="0" xfId="0" applyNumberFormat="1" applyFont="1" applyFill="1" applyBorder="1" applyAlignment="1">
      <alignment horizontal="center" wrapText="1"/>
    </xf>
    <xf numFmtId="2" fontId="22" fillId="291" borderId="13" xfId="0" applyNumberFormat="1" applyFont="1" applyFill="1" applyBorder="1" applyAlignment="1">
      <alignment horizontal="center" wrapText="1"/>
    </xf>
    <xf numFmtId="2" fontId="22" fillId="342" borderId="0" xfId="0" applyNumberFormat="1" applyFont="1" applyFill="1" applyBorder="1" applyAlignment="1">
      <alignment horizontal="center" wrapText="1"/>
    </xf>
    <xf numFmtId="2" fontId="22" fillId="179" borderId="13" xfId="0" applyNumberFormat="1" applyFont="1" applyFill="1" applyBorder="1" applyAlignment="1">
      <alignment horizontal="center" wrapText="1"/>
    </xf>
    <xf numFmtId="2" fontId="22" fillId="344" borderId="14" xfId="0" applyNumberFormat="1" applyFont="1" applyFill="1" applyBorder="1" applyAlignment="1">
      <alignment horizontal="center" wrapText="1"/>
    </xf>
    <xf numFmtId="2" fontId="22" fillId="263" borderId="0" xfId="0" applyNumberFormat="1" applyFont="1" applyFill="1" applyBorder="1" applyAlignment="1">
      <alignment horizontal="center" wrapText="1"/>
    </xf>
    <xf numFmtId="2" fontId="22" fillId="345" borderId="14" xfId="0" applyNumberFormat="1" applyFont="1" applyFill="1" applyBorder="1" applyAlignment="1">
      <alignment horizontal="center" wrapText="1"/>
    </xf>
    <xf numFmtId="2" fontId="22" fillId="321" borderId="0" xfId="0" applyNumberFormat="1" applyFont="1" applyFill="1" applyBorder="1" applyAlignment="1">
      <alignment horizontal="center" wrapText="1"/>
    </xf>
    <xf numFmtId="2" fontId="22" fillId="346" borderId="0" xfId="0" applyNumberFormat="1" applyFont="1" applyFill="1" applyBorder="1" applyAlignment="1">
      <alignment horizontal="center" wrapText="1"/>
    </xf>
    <xf numFmtId="2" fontId="22" fillId="43" borderId="13" xfId="0" applyNumberFormat="1" applyFont="1" applyFill="1" applyBorder="1" applyAlignment="1">
      <alignment horizontal="center" wrapText="1"/>
    </xf>
    <xf numFmtId="2" fontId="22" fillId="186" borderId="0" xfId="0" applyNumberFormat="1" applyFont="1" applyFill="1" applyBorder="1" applyAlignment="1">
      <alignment horizontal="center" wrapText="1"/>
    </xf>
    <xf numFmtId="2" fontId="22" fillId="79" borderId="0" xfId="0" applyNumberFormat="1" applyFont="1" applyFill="1" applyBorder="1" applyAlignment="1">
      <alignment horizontal="center" wrapText="1"/>
    </xf>
    <xf numFmtId="2" fontId="22" fillId="347" borderId="0" xfId="0" applyNumberFormat="1" applyFont="1" applyFill="1" applyBorder="1" applyAlignment="1">
      <alignment horizontal="center" wrapText="1"/>
    </xf>
    <xf numFmtId="2" fontId="22" fillId="348" borderId="0" xfId="0" applyNumberFormat="1" applyFont="1" applyFill="1" applyBorder="1" applyAlignment="1">
      <alignment horizontal="center" wrapText="1"/>
    </xf>
    <xf numFmtId="2" fontId="22" fillId="349" borderId="13" xfId="0" applyNumberFormat="1" applyFont="1" applyFill="1" applyBorder="1" applyAlignment="1">
      <alignment horizontal="center" wrapText="1"/>
    </xf>
    <xf numFmtId="2" fontId="22" fillId="238" borderId="14" xfId="0" applyNumberFormat="1" applyFont="1" applyFill="1" applyBorder="1" applyAlignment="1">
      <alignment horizontal="center" wrapText="1"/>
    </xf>
    <xf numFmtId="2" fontId="22" fillId="351" borderId="0" xfId="0" applyNumberFormat="1" applyFont="1" applyFill="1" applyBorder="1" applyAlignment="1">
      <alignment horizontal="center" wrapText="1"/>
    </xf>
    <xf numFmtId="2" fontId="22" fillId="352" borderId="0" xfId="0" applyNumberFormat="1" applyFont="1" applyFill="1" applyBorder="1" applyAlignment="1">
      <alignment horizontal="center" wrapText="1"/>
    </xf>
    <xf numFmtId="2" fontId="22" fillId="52" borderId="13" xfId="0" applyNumberFormat="1" applyFont="1" applyFill="1" applyBorder="1" applyAlignment="1">
      <alignment horizontal="center" wrapText="1"/>
    </xf>
    <xf numFmtId="2" fontId="22" fillId="356" borderId="0" xfId="0" applyNumberFormat="1" applyFont="1" applyFill="1" applyBorder="1" applyAlignment="1">
      <alignment horizontal="center" wrapText="1"/>
    </xf>
    <xf numFmtId="2" fontId="22" fillId="357" borderId="0" xfId="0" applyNumberFormat="1" applyFont="1" applyFill="1" applyBorder="1" applyAlignment="1">
      <alignment horizontal="center" wrapText="1"/>
    </xf>
    <xf numFmtId="2" fontId="22" fillId="206" borderId="13" xfId="0" applyNumberFormat="1" applyFont="1" applyFill="1" applyBorder="1" applyAlignment="1">
      <alignment horizontal="center" wrapText="1"/>
    </xf>
    <xf numFmtId="2" fontId="22" fillId="357" borderId="14" xfId="0" applyNumberFormat="1" applyFont="1" applyFill="1" applyBorder="1" applyAlignment="1">
      <alignment horizontal="center" wrapText="1"/>
    </xf>
    <xf numFmtId="2" fontId="22" fillId="363" borderId="0" xfId="0" applyNumberFormat="1" applyFont="1" applyFill="1" applyBorder="1" applyAlignment="1">
      <alignment horizontal="center" wrapText="1"/>
    </xf>
    <xf numFmtId="2" fontId="22" fillId="192" borderId="0" xfId="0" applyNumberFormat="1" applyFont="1" applyFill="1" applyBorder="1" applyAlignment="1">
      <alignment horizontal="center" wrapText="1"/>
    </xf>
    <xf numFmtId="2" fontId="22" fillId="229" borderId="14" xfId="0" applyNumberFormat="1" applyFont="1" applyFill="1" applyBorder="1" applyAlignment="1">
      <alignment horizontal="center" wrapText="1"/>
    </xf>
    <xf numFmtId="2" fontId="22" fillId="77" borderId="0" xfId="0" applyNumberFormat="1" applyFont="1" applyFill="1" applyBorder="1" applyAlignment="1">
      <alignment horizontal="center" wrapText="1"/>
    </xf>
    <xf numFmtId="2" fontId="22" fillId="83" borderId="14" xfId="0" applyNumberFormat="1" applyFont="1" applyFill="1" applyBorder="1" applyAlignment="1">
      <alignment horizontal="center" wrapText="1"/>
    </xf>
    <xf numFmtId="2" fontId="22" fillId="369" borderId="0" xfId="0" applyNumberFormat="1" applyFont="1" applyFill="1" applyBorder="1" applyAlignment="1">
      <alignment horizontal="center" wrapText="1"/>
    </xf>
    <xf numFmtId="2" fontId="22" fillId="150" borderId="0" xfId="0" applyNumberFormat="1" applyFont="1" applyFill="1" applyBorder="1" applyAlignment="1">
      <alignment horizontal="center" wrapText="1"/>
    </xf>
    <xf numFmtId="2" fontId="22" fillId="371" borderId="0" xfId="0" applyNumberFormat="1" applyFont="1" applyFill="1" applyBorder="1" applyAlignment="1">
      <alignment horizontal="center" wrapText="1"/>
    </xf>
    <xf numFmtId="2" fontId="22" fillId="180" borderId="0" xfId="0" applyNumberFormat="1" applyFont="1" applyFill="1" applyBorder="1" applyAlignment="1">
      <alignment horizontal="center" wrapText="1"/>
    </xf>
    <xf numFmtId="2" fontId="22" fillId="172" borderId="13" xfId="0" applyNumberFormat="1" applyFont="1" applyFill="1" applyBorder="1" applyAlignment="1">
      <alignment horizontal="center" wrapText="1"/>
    </xf>
    <xf numFmtId="2" fontId="22" fillId="374" borderId="0" xfId="0" applyNumberFormat="1" applyFont="1" applyFill="1" applyBorder="1" applyAlignment="1">
      <alignment horizontal="center" wrapText="1"/>
    </xf>
    <xf numFmtId="2" fontId="22" fillId="80" borderId="0" xfId="0" applyNumberFormat="1" applyFont="1" applyFill="1" applyBorder="1" applyAlignment="1">
      <alignment horizontal="center" wrapText="1"/>
    </xf>
    <xf numFmtId="2" fontId="22" fillId="54" borderId="13" xfId="0" applyNumberFormat="1" applyFont="1" applyFill="1" applyBorder="1" applyAlignment="1">
      <alignment horizontal="center" wrapText="1"/>
    </xf>
    <xf numFmtId="2" fontId="22" fillId="376" borderId="14" xfId="0" applyNumberFormat="1" applyFont="1" applyFill="1" applyBorder="1" applyAlignment="1">
      <alignment horizontal="center" wrapText="1"/>
    </xf>
    <xf numFmtId="2" fontId="22" fillId="372" borderId="0" xfId="0" applyNumberFormat="1" applyFont="1" applyFill="1" applyBorder="1" applyAlignment="1">
      <alignment horizontal="center" wrapText="1"/>
    </xf>
    <xf numFmtId="2" fontId="22" fillId="273" borderId="0" xfId="0" applyNumberFormat="1" applyFont="1" applyFill="1" applyBorder="1" applyAlignment="1">
      <alignment horizontal="center" wrapText="1"/>
    </xf>
    <xf numFmtId="2" fontId="22" fillId="139" borderId="0" xfId="0" applyNumberFormat="1" applyFont="1" applyFill="1" applyBorder="1" applyAlignment="1">
      <alignment horizontal="center" wrapText="1"/>
    </xf>
    <xf numFmtId="2" fontId="22" fillId="287" borderId="14" xfId="0" applyNumberFormat="1" applyFont="1" applyFill="1" applyBorder="1" applyAlignment="1">
      <alignment horizontal="center" wrapText="1"/>
    </xf>
    <xf numFmtId="2" fontId="22" fillId="379" borderId="0" xfId="0" applyNumberFormat="1" applyFont="1" applyFill="1" applyBorder="1" applyAlignment="1">
      <alignment horizontal="center" wrapText="1"/>
    </xf>
    <xf numFmtId="2" fontId="22" fillId="382" borderId="14" xfId="0" applyNumberFormat="1" applyFont="1" applyFill="1" applyBorder="1" applyAlignment="1">
      <alignment horizontal="center" wrapText="1"/>
    </xf>
    <xf numFmtId="2" fontId="22" fillId="345" borderId="0" xfId="0" applyNumberFormat="1" applyFont="1" applyFill="1" applyBorder="1" applyAlignment="1">
      <alignment horizontal="center" wrapText="1"/>
    </xf>
    <xf numFmtId="2" fontId="22" fillId="218" borderId="0" xfId="0" applyNumberFormat="1" applyFont="1" applyFill="1" applyBorder="1" applyAlignment="1">
      <alignment horizontal="center" wrapText="1"/>
    </xf>
    <xf numFmtId="2" fontId="22" fillId="196" borderId="13" xfId="0" applyNumberFormat="1" applyFont="1" applyFill="1" applyBorder="1" applyAlignment="1">
      <alignment horizontal="center" wrapText="1"/>
    </xf>
    <xf numFmtId="2" fontId="22" fillId="385" borderId="14" xfId="0" applyNumberFormat="1" applyFont="1" applyFill="1" applyBorder="1" applyAlignment="1">
      <alignment horizontal="center" wrapText="1"/>
    </xf>
    <xf numFmtId="2" fontId="22" fillId="320" borderId="0" xfId="0" applyNumberFormat="1" applyFont="1" applyFill="1" applyBorder="1" applyAlignment="1">
      <alignment horizontal="center" wrapText="1"/>
    </xf>
    <xf numFmtId="2" fontId="22" fillId="266" borderId="13" xfId="0" applyNumberFormat="1" applyFont="1" applyFill="1" applyBorder="1" applyAlignment="1">
      <alignment horizontal="center" wrapText="1"/>
    </xf>
    <xf numFmtId="2" fontId="22" fillId="388" borderId="14" xfId="0" applyNumberFormat="1" applyFont="1" applyFill="1" applyBorder="1" applyAlignment="1">
      <alignment horizontal="center" wrapText="1"/>
    </xf>
    <xf numFmtId="2" fontId="22" fillId="389" borderId="0" xfId="0" applyNumberFormat="1" applyFont="1" applyFill="1" applyBorder="1" applyAlignment="1">
      <alignment horizontal="center" wrapText="1"/>
    </xf>
    <xf numFmtId="2" fontId="22" fillId="181" borderId="0" xfId="0" applyNumberFormat="1" applyFont="1" applyFill="1" applyBorder="1" applyAlignment="1">
      <alignment horizontal="center" wrapText="1"/>
    </xf>
    <xf numFmtId="2" fontId="22" fillId="66" borderId="13" xfId="0" applyNumberFormat="1" applyFont="1" applyFill="1" applyBorder="1" applyAlignment="1">
      <alignment horizontal="center" wrapText="1"/>
    </xf>
    <xf numFmtId="2" fontId="22" fillId="297" borderId="14" xfId="0" applyNumberFormat="1" applyFont="1" applyFill="1" applyBorder="1" applyAlignment="1">
      <alignment horizontal="center" wrapText="1"/>
    </xf>
    <xf numFmtId="2" fontId="22" fillId="210" borderId="13" xfId="0" applyNumberFormat="1" applyFont="1" applyFill="1" applyBorder="1" applyAlignment="1">
      <alignment horizontal="center" wrapText="1"/>
    </xf>
    <xf numFmtId="2" fontId="22" fillId="251" borderId="14" xfId="0" applyNumberFormat="1" applyFont="1" applyFill="1" applyBorder="1" applyAlignment="1">
      <alignment horizontal="center" wrapText="1"/>
    </xf>
    <xf numFmtId="2" fontId="22" fillId="391" borderId="0" xfId="0" applyNumberFormat="1" applyFont="1" applyFill="1" applyBorder="1" applyAlignment="1">
      <alignment horizontal="center" wrapText="1"/>
    </xf>
    <xf numFmtId="2" fontId="22" fillId="392" borderId="0" xfId="0" applyNumberFormat="1" applyFont="1" applyFill="1" applyBorder="1" applyAlignment="1">
      <alignment horizontal="center" wrapText="1"/>
    </xf>
    <xf numFmtId="2" fontId="22" fillId="155" borderId="13" xfId="0" applyNumberFormat="1" applyFont="1" applyFill="1" applyBorder="1" applyAlignment="1">
      <alignment horizontal="center" wrapText="1"/>
    </xf>
    <xf numFmtId="2" fontId="22" fillId="364" borderId="14" xfId="0" applyNumberFormat="1" applyFont="1" applyFill="1" applyBorder="1" applyAlignment="1">
      <alignment horizontal="center" wrapText="1"/>
    </xf>
    <xf numFmtId="2" fontId="22" fillId="174" borderId="0" xfId="0" applyNumberFormat="1" applyFont="1" applyFill="1" applyBorder="1" applyAlignment="1">
      <alignment horizontal="center" wrapText="1"/>
    </xf>
    <xf numFmtId="2" fontId="22" fillId="292" borderId="14" xfId="0" applyNumberFormat="1" applyFont="1" applyFill="1" applyBorder="1" applyAlignment="1">
      <alignment horizontal="center" wrapText="1"/>
    </xf>
    <xf numFmtId="2" fontId="22" fillId="355" borderId="0" xfId="0" applyNumberFormat="1" applyFont="1" applyFill="1" applyBorder="1" applyAlignment="1">
      <alignment horizontal="center" wrapText="1"/>
    </xf>
    <xf numFmtId="2" fontId="22" fillId="396" borderId="0" xfId="0" applyNumberFormat="1" applyFont="1" applyFill="1" applyBorder="1" applyAlignment="1">
      <alignment horizontal="center" wrapText="1"/>
    </xf>
    <xf numFmtId="2" fontId="22" fillId="265" borderId="0" xfId="0" applyNumberFormat="1" applyFont="1" applyFill="1" applyBorder="1" applyAlignment="1">
      <alignment horizontal="center" wrapText="1"/>
    </xf>
    <xf numFmtId="2" fontId="22" fillId="397" borderId="0" xfId="0" applyNumberFormat="1" applyFont="1" applyFill="1" applyBorder="1" applyAlignment="1">
      <alignment horizontal="center" wrapText="1"/>
    </xf>
    <xf numFmtId="2" fontId="22" fillId="145" borderId="0" xfId="0" applyNumberFormat="1" applyFont="1" applyFill="1" applyBorder="1" applyAlignment="1">
      <alignment horizontal="center" wrapText="1"/>
    </xf>
    <xf numFmtId="2" fontId="22" fillId="62" borderId="0" xfId="0" applyNumberFormat="1" applyFont="1" applyFill="1" applyBorder="1" applyAlignment="1">
      <alignment horizontal="center" wrapText="1"/>
    </xf>
    <xf numFmtId="2" fontId="22" fillId="264" borderId="13" xfId="0" applyNumberFormat="1" applyFont="1" applyFill="1" applyBorder="1" applyAlignment="1">
      <alignment horizontal="center" wrapText="1"/>
    </xf>
    <xf numFmtId="2" fontId="22" fillId="331" borderId="14" xfId="0" applyNumberFormat="1" applyFont="1" applyFill="1" applyBorder="1" applyAlignment="1">
      <alignment horizontal="center" wrapText="1"/>
    </xf>
    <xf numFmtId="2" fontId="22" fillId="399" borderId="0" xfId="0" applyNumberFormat="1" applyFont="1" applyFill="1" applyBorder="1" applyAlignment="1">
      <alignment horizontal="center" wrapText="1"/>
    </xf>
    <xf numFmtId="2" fontId="22" fillId="392" borderId="14" xfId="0" applyNumberFormat="1" applyFont="1" applyFill="1" applyBorder="1" applyAlignment="1">
      <alignment horizontal="center" wrapText="1"/>
    </xf>
    <xf numFmtId="2" fontId="22" fillId="59" borderId="13" xfId="0" applyNumberFormat="1" applyFont="1" applyFill="1" applyBorder="1" applyAlignment="1">
      <alignment horizontal="center" wrapText="1"/>
    </xf>
    <xf numFmtId="2" fontId="22" fillId="404" borderId="14" xfId="0" applyNumberFormat="1" applyFont="1" applyFill="1" applyBorder="1" applyAlignment="1">
      <alignment horizontal="center" wrapText="1"/>
    </xf>
    <xf numFmtId="2" fontId="22" fillId="310" borderId="0" xfId="0" applyNumberFormat="1" applyFont="1" applyFill="1" applyBorder="1" applyAlignment="1">
      <alignment horizontal="center" wrapText="1"/>
    </xf>
    <xf numFmtId="2" fontId="22" fillId="201" borderId="14" xfId="0" applyNumberFormat="1" applyFont="1" applyFill="1" applyBorder="1" applyAlignment="1">
      <alignment horizontal="center" wrapText="1"/>
    </xf>
    <xf numFmtId="2" fontId="22" fillId="267" borderId="0" xfId="0" applyNumberFormat="1" applyFont="1" applyFill="1" applyBorder="1" applyAlignment="1">
      <alignment horizontal="center" wrapText="1"/>
    </xf>
    <xf numFmtId="2" fontId="22" fillId="386" borderId="0" xfId="0" applyNumberFormat="1" applyFont="1" applyFill="1" applyBorder="1" applyAlignment="1">
      <alignment horizontal="center" wrapText="1"/>
    </xf>
    <xf numFmtId="2" fontId="22" fillId="411" borderId="14" xfId="0" applyNumberFormat="1" applyFont="1" applyFill="1" applyBorder="1" applyAlignment="1">
      <alignment horizontal="center" wrapText="1"/>
    </xf>
    <xf numFmtId="2" fontId="22" fillId="362" borderId="0" xfId="0" applyNumberFormat="1" applyFont="1" applyFill="1" applyBorder="1" applyAlignment="1">
      <alignment horizontal="center" wrapText="1"/>
    </xf>
    <xf numFmtId="2" fontId="22" fillId="412" borderId="0" xfId="0" applyNumberFormat="1" applyFont="1" applyFill="1" applyBorder="1" applyAlignment="1">
      <alignment horizontal="center" wrapText="1"/>
    </xf>
    <xf numFmtId="2" fontId="22" fillId="86" borderId="0" xfId="0" applyNumberFormat="1" applyFont="1" applyFill="1" applyBorder="1" applyAlignment="1">
      <alignment horizontal="center" wrapText="1"/>
    </xf>
    <xf numFmtId="2" fontId="22" fillId="115" borderId="13" xfId="0" applyNumberFormat="1" applyFont="1" applyFill="1" applyBorder="1" applyAlignment="1">
      <alignment horizontal="center" wrapText="1"/>
    </xf>
    <xf numFmtId="2" fontId="22" fillId="414" borderId="14" xfId="0" applyNumberFormat="1" applyFont="1" applyFill="1" applyBorder="1" applyAlignment="1">
      <alignment horizontal="center" wrapText="1"/>
    </xf>
    <xf numFmtId="2" fontId="22" fillId="314" borderId="0" xfId="0" applyNumberFormat="1" applyFont="1" applyFill="1" applyBorder="1" applyAlignment="1">
      <alignment horizontal="center" wrapText="1"/>
    </xf>
    <xf numFmtId="2" fontId="22" fillId="60" borderId="0" xfId="0" applyNumberFormat="1" applyFont="1" applyFill="1" applyBorder="1" applyAlignment="1">
      <alignment horizontal="center" wrapText="1"/>
    </xf>
    <xf numFmtId="2" fontId="22" fillId="418" borderId="14" xfId="0" applyNumberFormat="1" applyFont="1" applyFill="1" applyBorder="1" applyAlignment="1">
      <alignment horizontal="center" wrapText="1"/>
    </xf>
    <xf numFmtId="2" fontId="22" fillId="419" borderId="0" xfId="0" applyNumberFormat="1" applyFont="1" applyFill="1" applyBorder="1" applyAlignment="1">
      <alignment horizontal="center" wrapText="1"/>
    </xf>
    <xf numFmtId="2" fontId="22" fillId="349" borderId="0" xfId="0" applyNumberFormat="1" applyFont="1" applyFill="1" applyBorder="1" applyAlignment="1">
      <alignment horizontal="center" wrapText="1"/>
    </xf>
    <xf numFmtId="2" fontId="22" fillId="380" borderId="13" xfId="0" applyNumberFormat="1" applyFont="1" applyFill="1" applyBorder="1" applyAlignment="1">
      <alignment horizontal="center" wrapText="1"/>
    </xf>
    <xf numFmtId="2" fontId="22" fillId="363" borderId="14" xfId="0" applyNumberFormat="1" applyFont="1" applyFill="1" applyBorder="1" applyAlignment="1">
      <alignment horizontal="center" wrapText="1"/>
    </xf>
    <xf numFmtId="2" fontId="22" fillId="246" borderId="0" xfId="0" applyNumberFormat="1" applyFont="1" applyFill="1" applyBorder="1" applyAlignment="1">
      <alignment horizontal="center" wrapText="1"/>
    </xf>
    <xf numFmtId="2" fontId="22" fillId="338" borderId="14" xfId="0" applyNumberFormat="1" applyFont="1" applyFill="1" applyBorder="1" applyAlignment="1">
      <alignment horizontal="center" wrapText="1"/>
    </xf>
    <xf numFmtId="2" fontId="22" fillId="376" borderId="0" xfId="0" applyNumberFormat="1" applyFont="1" applyFill="1" applyBorder="1" applyAlignment="1">
      <alignment horizontal="center" wrapText="1"/>
    </xf>
    <xf numFmtId="2" fontId="22" fillId="312" borderId="0" xfId="0" applyNumberFormat="1" applyFont="1" applyFill="1" applyBorder="1" applyAlignment="1">
      <alignment horizontal="center" wrapText="1"/>
    </xf>
    <xf numFmtId="2" fontId="22" fillId="235" borderId="0" xfId="0" applyNumberFormat="1" applyFont="1" applyFill="1" applyBorder="1" applyAlignment="1">
      <alignment horizontal="center" wrapText="1"/>
    </xf>
    <xf numFmtId="2" fontId="22" fillId="424" borderId="13" xfId="0" applyNumberFormat="1" applyFont="1" applyFill="1" applyBorder="1" applyAlignment="1">
      <alignment horizontal="center" wrapText="1"/>
    </xf>
    <xf numFmtId="2" fontId="22" fillId="310" borderId="14" xfId="0" applyNumberFormat="1" applyFont="1" applyFill="1" applyBorder="1" applyAlignment="1">
      <alignment horizontal="center" wrapText="1"/>
    </xf>
    <xf numFmtId="2" fontId="22" fillId="411" borderId="0" xfId="0" applyNumberFormat="1" applyFont="1" applyFill="1" applyBorder="1" applyAlignment="1">
      <alignment horizontal="center" wrapText="1"/>
    </xf>
    <xf numFmtId="2" fontId="22" fillId="404" borderId="0" xfId="0" applyNumberFormat="1" applyFont="1" applyFill="1" applyBorder="1" applyAlignment="1">
      <alignment horizontal="center" wrapText="1"/>
    </xf>
    <xf numFmtId="2" fontId="22" fillId="64" borderId="14" xfId="0" applyNumberFormat="1" applyFont="1" applyFill="1" applyBorder="1" applyAlignment="1">
      <alignment horizontal="center" wrapText="1"/>
    </xf>
    <xf numFmtId="2" fontId="22" fillId="390" borderId="0" xfId="0" applyNumberFormat="1" applyFont="1" applyFill="1" applyBorder="1" applyAlignment="1">
      <alignment horizontal="center" wrapText="1"/>
    </xf>
    <xf numFmtId="2" fontId="22" fillId="428" borderId="0" xfId="0" applyNumberFormat="1" applyFont="1" applyFill="1" applyBorder="1" applyAlignment="1">
      <alignment horizontal="center" wrapText="1"/>
    </xf>
    <xf numFmtId="2" fontId="22" fillId="364" borderId="0" xfId="0" applyNumberFormat="1" applyFont="1" applyFill="1" applyBorder="1" applyAlignment="1">
      <alignment horizontal="center" wrapText="1"/>
    </xf>
    <xf numFmtId="2" fontId="22" fillId="393" borderId="13" xfId="0" applyNumberFormat="1" applyFont="1" applyFill="1" applyBorder="1" applyAlignment="1">
      <alignment horizontal="center" wrapText="1"/>
    </xf>
    <xf numFmtId="2" fontId="22" fillId="385" borderId="0" xfId="0" applyNumberFormat="1" applyFont="1" applyFill="1" applyBorder="1" applyAlignment="1">
      <alignment horizontal="center" wrapText="1"/>
    </xf>
    <xf numFmtId="2" fontId="22" fillId="429" borderId="0" xfId="0" applyNumberFormat="1" applyFont="1" applyFill="1" applyBorder="1" applyAlignment="1">
      <alignment horizontal="center" wrapText="1"/>
    </xf>
    <xf numFmtId="2" fontId="22" fillId="430" borderId="13" xfId="0" applyNumberFormat="1" applyFont="1" applyFill="1" applyBorder="1" applyAlignment="1">
      <alignment horizontal="center" wrapText="1"/>
    </xf>
    <xf numFmtId="2" fontId="22" fillId="433" borderId="0" xfId="0" applyNumberFormat="1" applyFont="1" applyFill="1" applyBorder="1" applyAlignment="1">
      <alignment horizontal="center" wrapText="1"/>
    </xf>
    <xf numFmtId="2" fontId="22" fillId="350" borderId="0" xfId="0" applyNumberFormat="1" applyFont="1" applyFill="1" applyBorder="1" applyAlignment="1">
      <alignment horizontal="center" wrapText="1"/>
    </xf>
    <xf numFmtId="2" fontId="22" fillId="389" borderId="13" xfId="0" applyNumberFormat="1" applyFont="1" applyFill="1" applyBorder="1" applyAlignment="1">
      <alignment horizontal="center" wrapText="1"/>
    </xf>
    <xf numFmtId="2" fontId="22" fillId="342" borderId="14" xfId="0" applyNumberFormat="1" applyFont="1" applyFill="1" applyBorder="1" applyAlignment="1">
      <alignment horizontal="center" wrapText="1"/>
    </xf>
    <xf numFmtId="2" fontId="22" fillId="435" borderId="0" xfId="0" applyNumberFormat="1" applyFont="1" applyFill="1" applyBorder="1" applyAlignment="1">
      <alignment horizontal="center" wrapText="1"/>
    </xf>
    <xf numFmtId="2" fontId="22" fillId="436" borderId="0" xfId="0" applyNumberFormat="1" applyFont="1" applyFill="1" applyBorder="1" applyAlignment="1">
      <alignment horizontal="center" wrapText="1"/>
    </xf>
    <xf numFmtId="2" fontId="22" fillId="437" borderId="0" xfId="0" applyNumberFormat="1" applyFont="1" applyFill="1" applyBorder="1" applyAlignment="1">
      <alignment horizontal="center" wrapText="1"/>
    </xf>
    <xf numFmtId="2" fontId="22" fillId="438" borderId="13" xfId="0" applyNumberFormat="1" applyFont="1" applyFill="1" applyBorder="1" applyAlignment="1">
      <alignment horizontal="center" wrapText="1"/>
    </xf>
    <xf numFmtId="2" fontId="22" fillId="442" borderId="14" xfId="0" applyNumberFormat="1" applyFont="1" applyFill="1" applyBorder="1" applyAlignment="1">
      <alignment horizontal="center" wrapText="1"/>
    </xf>
    <xf numFmtId="2" fontId="22" fillId="443" borderId="0" xfId="0" applyNumberFormat="1" applyFont="1" applyFill="1" applyBorder="1" applyAlignment="1">
      <alignment horizontal="center" wrapText="1"/>
    </xf>
    <xf numFmtId="2" fontId="22" fillId="356" borderId="13" xfId="0" applyNumberFormat="1" applyFont="1" applyFill="1" applyBorder="1" applyAlignment="1">
      <alignment horizontal="center" wrapText="1"/>
    </xf>
    <xf numFmtId="2" fontId="22" fillId="447" borderId="14" xfId="0" applyNumberFormat="1" applyFont="1" applyFill="1" applyBorder="1" applyAlignment="1">
      <alignment horizontal="center" wrapText="1"/>
    </xf>
    <xf numFmtId="2" fontId="22" fillId="422" borderId="0" xfId="0" applyNumberFormat="1" applyFont="1" applyFill="1" applyBorder="1" applyAlignment="1">
      <alignment horizontal="center" wrapText="1"/>
    </xf>
    <xf numFmtId="2" fontId="22" fillId="409" borderId="0" xfId="0" applyNumberFormat="1" applyFont="1" applyFill="1" applyBorder="1" applyAlignment="1">
      <alignment horizontal="center" wrapText="1"/>
    </xf>
    <xf numFmtId="2" fontId="22" fillId="395" borderId="0" xfId="0" applyNumberFormat="1" applyFont="1" applyFill="1" applyBorder="1" applyAlignment="1">
      <alignment horizontal="center" wrapText="1"/>
    </xf>
    <xf numFmtId="2" fontId="22" fillId="422" borderId="13" xfId="0" applyNumberFormat="1" applyFont="1" applyFill="1" applyBorder="1" applyAlignment="1">
      <alignment horizontal="center" wrapText="1"/>
    </xf>
    <xf numFmtId="2" fontId="22" fillId="303" borderId="14" xfId="0" applyNumberFormat="1" applyFont="1" applyFill="1" applyBorder="1" applyAlignment="1">
      <alignment horizontal="center" wrapText="1"/>
    </xf>
    <xf numFmtId="2" fontId="22" fillId="424" borderId="0" xfId="0" applyNumberFormat="1" applyFont="1" applyFill="1" applyBorder="1" applyAlignment="1">
      <alignment horizontal="center" wrapText="1"/>
    </xf>
    <xf numFmtId="2" fontId="22" fillId="451" borderId="0" xfId="0" applyNumberFormat="1" applyFont="1" applyFill="1" applyBorder="1" applyAlignment="1">
      <alignment horizontal="center" wrapText="1"/>
    </xf>
    <xf numFmtId="2" fontId="22" fillId="293" borderId="0" xfId="0" applyNumberFormat="1" applyFont="1" applyFill="1" applyBorder="1" applyAlignment="1">
      <alignment horizontal="center" wrapText="1"/>
    </xf>
    <xf numFmtId="2" fontId="22" fillId="411" borderId="13" xfId="0" applyNumberFormat="1" applyFont="1" applyFill="1" applyBorder="1" applyAlignment="1">
      <alignment horizontal="center" wrapText="1"/>
    </xf>
    <xf numFmtId="2" fontId="22" fillId="417" borderId="14" xfId="0" applyNumberFormat="1" applyFont="1" applyFill="1" applyBorder="1" applyAlignment="1">
      <alignment horizontal="center" wrapText="1"/>
    </xf>
    <xf numFmtId="2" fontId="22" fillId="450" borderId="0" xfId="0" applyNumberFormat="1" applyFont="1" applyFill="1" applyBorder="1" applyAlignment="1">
      <alignment horizontal="center" wrapText="1"/>
    </xf>
    <xf numFmtId="2" fontId="22" fillId="454" borderId="0" xfId="0" applyNumberFormat="1" applyFont="1" applyFill="1" applyBorder="1" applyAlignment="1">
      <alignment horizontal="center" wrapText="1"/>
    </xf>
    <xf numFmtId="2" fontId="22" fillId="363" borderId="13" xfId="0" applyNumberFormat="1" applyFont="1" applyFill="1" applyBorder="1" applyAlignment="1">
      <alignment horizontal="center" wrapText="1"/>
    </xf>
    <xf numFmtId="2" fontId="22" fillId="457" borderId="0" xfId="0" applyNumberFormat="1" applyFont="1" applyFill="1" applyBorder="1" applyAlignment="1">
      <alignment horizontal="center" wrapText="1"/>
    </xf>
    <xf numFmtId="2" fontId="22" fillId="44" borderId="13" xfId="0" applyNumberFormat="1" applyFont="1" applyFill="1" applyBorder="1" applyAlignment="1">
      <alignment horizontal="center" wrapText="1"/>
    </xf>
    <xf numFmtId="2" fontId="22" fillId="435" borderId="14" xfId="0" applyNumberFormat="1" applyFont="1" applyFill="1" applyBorder="1" applyAlignment="1">
      <alignment horizontal="center" wrapText="1"/>
    </xf>
    <xf numFmtId="2" fontId="22" fillId="380" borderId="0" xfId="0" applyNumberFormat="1" applyFont="1" applyFill="1" applyBorder="1" applyAlignment="1">
      <alignment horizontal="center" wrapText="1"/>
    </xf>
    <xf numFmtId="2" fontId="22" fillId="378" borderId="0" xfId="0" applyNumberFormat="1" applyFont="1" applyFill="1" applyBorder="1" applyAlignment="1">
      <alignment horizontal="center" wrapText="1"/>
    </xf>
    <xf numFmtId="2" fontId="22" fillId="414" borderId="0" xfId="0" applyNumberFormat="1" applyFont="1" applyFill="1" applyBorder="1" applyAlignment="1">
      <alignment horizontal="center" wrapText="1"/>
    </xf>
    <xf numFmtId="2" fontId="22" fillId="395" borderId="13" xfId="0" applyNumberFormat="1" applyFont="1" applyFill="1" applyBorder="1" applyAlignment="1">
      <alignment horizontal="center" wrapText="1"/>
    </xf>
    <xf numFmtId="2" fontId="22" fillId="324" borderId="14" xfId="0" applyNumberFormat="1" applyFont="1" applyFill="1" applyBorder="1" applyAlignment="1">
      <alignment horizontal="center" wrapText="1"/>
    </xf>
    <xf numFmtId="2" fontId="22" fillId="417" borderId="0" xfId="0" applyNumberFormat="1" applyFont="1" applyFill="1" applyBorder="1" applyAlignment="1">
      <alignment horizontal="center" wrapText="1"/>
    </xf>
    <xf numFmtId="2" fontId="22" fillId="461" borderId="0" xfId="0" applyNumberFormat="1" applyFont="1" applyFill="1" applyBorder="1" applyAlignment="1">
      <alignment horizontal="center" wrapText="1"/>
    </xf>
    <xf numFmtId="2" fontId="22" fillId="373" borderId="13" xfId="0" applyNumberFormat="1" applyFont="1" applyFill="1" applyBorder="1" applyAlignment="1">
      <alignment horizontal="center" wrapText="1"/>
    </xf>
    <xf numFmtId="2" fontId="22" fillId="275" borderId="14" xfId="0" applyNumberFormat="1" applyFont="1" applyFill="1" applyBorder="1" applyAlignment="1">
      <alignment horizontal="center" wrapText="1"/>
    </xf>
    <xf numFmtId="2" fontId="22" fillId="463" borderId="0" xfId="0" applyNumberFormat="1" applyFont="1" applyFill="1" applyBorder="1" applyAlignment="1">
      <alignment horizontal="center" wrapText="1"/>
    </xf>
    <xf numFmtId="2" fontId="22" fillId="464" borderId="13" xfId="0" applyNumberFormat="1" applyFont="1" applyFill="1" applyBorder="1" applyAlignment="1">
      <alignment horizontal="center" wrapText="1"/>
    </xf>
    <xf numFmtId="2" fontId="22" fillId="397" borderId="13" xfId="0" applyNumberFormat="1" applyFont="1" applyFill="1" applyBorder="1" applyAlignment="1">
      <alignment horizontal="center" wrapText="1"/>
    </xf>
    <xf numFmtId="2" fontId="22" fillId="434" borderId="0" xfId="0" applyNumberFormat="1" applyFont="1" applyFill="1" applyBorder="1" applyAlignment="1">
      <alignment horizontal="center" wrapText="1"/>
    </xf>
    <xf numFmtId="2" fontId="22" fillId="467" borderId="0" xfId="0" applyNumberFormat="1" applyFont="1" applyFill="1" applyBorder="1" applyAlignment="1">
      <alignment horizontal="center" wrapText="1"/>
    </xf>
    <xf numFmtId="2" fontId="22" fillId="375" borderId="0" xfId="0" applyNumberFormat="1" applyFont="1" applyFill="1" applyBorder="1" applyAlignment="1">
      <alignment horizontal="center" wrapText="1"/>
    </xf>
    <xf numFmtId="2" fontId="22" fillId="375" borderId="14" xfId="0" applyNumberFormat="1" applyFont="1" applyFill="1" applyBorder="1" applyAlignment="1">
      <alignment horizontal="center" wrapText="1"/>
    </xf>
    <xf numFmtId="2" fontId="22" fillId="383" borderId="13" xfId="0" applyNumberFormat="1" applyFont="1" applyFill="1" applyBorder="1" applyAlignment="1">
      <alignment horizontal="center" wrapText="1"/>
    </xf>
    <xf numFmtId="2" fontId="22" fillId="469" borderId="14" xfId="0" applyNumberFormat="1" applyFont="1" applyFill="1" applyBorder="1" applyAlignment="1">
      <alignment horizontal="center" wrapText="1"/>
    </xf>
    <xf numFmtId="2" fontId="22" fillId="470" borderId="0" xfId="0" applyNumberFormat="1" applyFont="1" applyFill="1" applyBorder="1" applyAlignment="1">
      <alignment horizontal="center" wrapText="1"/>
    </xf>
    <xf numFmtId="2" fontId="22" fillId="378" borderId="14" xfId="0" applyNumberFormat="1" applyFont="1" applyFill="1" applyBorder="1" applyAlignment="1">
      <alignment horizontal="center" wrapText="1"/>
    </xf>
    <xf numFmtId="2" fontId="22" fillId="418" borderId="0" xfId="0" applyNumberFormat="1" applyFont="1" applyFill="1" applyBorder="1" applyAlignment="1">
      <alignment horizontal="center" wrapText="1"/>
    </xf>
    <xf numFmtId="2" fontId="22" fillId="467" borderId="13" xfId="0" applyNumberFormat="1" applyFont="1" applyFill="1" applyBorder="1" applyAlignment="1">
      <alignment horizontal="center" wrapText="1"/>
    </xf>
    <xf numFmtId="2" fontId="22" fillId="380" borderId="14" xfId="0" applyNumberFormat="1" applyFont="1" applyFill="1" applyBorder="1" applyAlignment="1">
      <alignment horizontal="center" wrapText="1"/>
    </xf>
    <xf numFmtId="2" fontId="22" fillId="378" borderId="13" xfId="0" applyNumberFormat="1" applyFont="1" applyFill="1" applyBorder="1" applyAlignment="1">
      <alignment horizontal="center" wrapText="1"/>
    </xf>
    <xf numFmtId="2" fontId="22" fillId="145" borderId="14" xfId="0" applyNumberFormat="1" applyFont="1" applyFill="1" applyBorder="1" applyAlignment="1">
      <alignment horizontal="center" wrapText="1"/>
    </xf>
    <xf numFmtId="2" fontId="22" fillId="172" borderId="14" xfId="0" applyNumberFormat="1" applyFont="1" applyFill="1" applyBorder="1" applyAlignment="1">
      <alignment horizontal="center" wrapText="1"/>
    </xf>
    <xf numFmtId="2" fontId="22" fillId="222" borderId="0" xfId="0" applyNumberFormat="1" applyFont="1" applyFill="1" applyBorder="1" applyAlignment="1">
      <alignment horizontal="center" wrapText="1"/>
    </xf>
    <xf numFmtId="2" fontId="22" fillId="474" borderId="13" xfId="0" applyNumberFormat="1" applyFont="1" applyFill="1" applyBorder="1" applyAlignment="1">
      <alignment horizontal="center" wrapText="1"/>
    </xf>
    <xf numFmtId="2" fontId="22" fillId="84" borderId="14" xfId="0" applyNumberFormat="1" applyFont="1" applyFill="1" applyBorder="1" applyAlignment="1">
      <alignment horizontal="center" wrapText="1"/>
    </xf>
    <xf numFmtId="2" fontId="22" fillId="183" borderId="13" xfId="0" applyNumberFormat="1" applyFont="1" applyFill="1" applyBorder="1" applyAlignment="1">
      <alignment horizontal="center" wrapText="1"/>
    </xf>
    <xf numFmtId="2" fontId="22" fillId="66" borderId="14" xfId="0" applyNumberFormat="1" applyFont="1" applyFill="1" applyBorder="1" applyAlignment="1">
      <alignment horizontal="center" wrapText="1"/>
    </xf>
    <xf numFmtId="2" fontId="22" fillId="91" borderId="0" xfId="0" applyNumberFormat="1" applyFont="1" applyFill="1" applyBorder="1" applyAlignment="1">
      <alignment horizontal="center" wrapText="1"/>
    </xf>
    <xf numFmtId="2" fontId="22" fillId="327" borderId="0" xfId="0" applyNumberFormat="1" applyFont="1" applyFill="1" applyBorder="1" applyAlignment="1">
      <alignment horizontal="center" wrapText="1"/>
    </xf>
    <xf numFmtId="2" fontId="22" fillId="475" borderId="0" xfId="0" applyNumberFormat="1" applyFont="1" applyFill="1" applyBorder="1" applyAlignment="1">
      <alignment horizontal="center" wrapText="1"/>
    </xf>
    <xf numFmtId="2" fontId="22" fillId="250" borderId="13" xfId="0" applyNumberFormat="1" applyFont="1" applyFill="1" applyBorder="1" applyAlignment="1">
      <alignment horizontal="center" wrapText="1"/>
    </xf>
    <xf numFmtId="2" fontId="22" fillId="112" borderId="14" xfId="0" applyNumberFormat="1" applyFont="1" applyFill="1" applyBorder="1" applyAlignment="1">
      <alignment horizontal="center" wrapText="1"/>
    </xf>
    <xf numFmtId="2" fontId="22" fillId="152" borderId="0" xfId="0" applyNumberFormat="1" applyFont="1" applyFill="1" applyBorder="1" applyAlignment="1">
      <alignment horizontal="center" wrapText="1"/>
    </xf>
    <xf numFmtId="2" fontId="22" fillId="476" borderId="0" xfId="0" applyNumberFormat="1" applyFont="1" applyFill="1" applyBorder="1" applyAlignment="1">
      <alignment horizontal="center" wrapText="1"/>
    </xf>
    <xf numFmtId="2" fontId="22" fillId="477" borderId="0" xfId="0" applyNumberFormat="1" applyFont="1" applyFill="1" applyBorder="1" applyAlignment="1">
      <alignment horizontal="center" wrapText="1"/>
    </xf>
    <xf numFmtId="2" fontId="22" fillId="457" borderId="13" xfId="0" applyNumberFormat="1" applyFont="1" applyFill="1" applyBorder="1" applyAlignment="1">
      <alignment horizontal="center" wrapText="1"/>
    </xf>
    <xf numFmtId="2" fontId="22" fillId="136" borderId="14" xfId="0" applyNumberFormat="1" applyFont="1" applyFill="1" applyBorder="1" applyAlignment="1">
      <alignment horizontal="center" wrapText="1"/>
    </xf>
    <xf numFmtId="2" fontId="22" fillId="52" borderId="0" xfId="0" applyNumberFormat="1" applyFont="1" applyFill="1" applyBorder="1" applyAlignment="1">
      <alignment horizontal="center" wrapText="1"/>
    </xf>
    <xf numFmtId="2" fontId="22" fillId="478" borderId="0" xfId="0" applyNumberFormat="1" applyFont="1" applyFill="1" applyBorder="1" applyAlignment="1">
      <alignment horizontal="center" wrapText="1"/>
    </xf>
    <xf numFmtId="2" fontId="22" fillId="329" borderId="13" xfId="0" applyNumberFormat="1" applyFont="1" applyFill="1" applyBorder="1" applyAlignment="1">
      <alignment horizontal="center" wrapText="1"/>
    </xf>
    <xf numFmtId="2" fontId="22" fillId="91" borderId="14" xfId="0" applyNumberFormat="1" applyFont="1" applyFill="1" applyBorder="1" applyAlignment="1">
      <alignment horizontal="center" wrapText="1"/>
    </xf>
    <xf numFmtId="2" fontId="22" fillId="126" borderId="0" xfId="0" applyNumberFormat="1" applyFont="1" applyFill="1" applyBorder="1" applyAlignment="1">
      <alignment horizontal="center" wrapText="1"/>
    </xf>
    <xf numFmtId="2" fontId="22" fillId="66" borderId="0" xfId="0" applyNumberFormat="1" applyFont="1" applyFill="1" applyBorder="1" applyAlignment="1">
      <alignment horizontal="center" wrapText="1"/>
    </xf>
    <xf numFmtId="2" fontId="22" fillId="313" borderId="13" xfId="0" applyNumberFormat="1" applyFont="1" applyFill="1" applyBorder="1" applyAlignment="1">
      <alignment horizontal="center" wrapText="1"/>
    </xf>
    <xf numFmtId="2" fontId="22" fillId="125" borderId="14" xfId="0" applyNumberFormat="1" applyFont="1" applyFill="1" applyBorder="1" applyAlignment="1">
      <alignment horizontal="center" wrapText="1"/>
    </xf>
    <xf numFmtId="2" fontId="22" fillId="366" borderId="0" xfId="0" applyNumberFormat="1" applyFont="1" applyFill="1" applyBorder="1" applyAlignment="1">
      <alignment horizontal="center" wrapText="1"/>
    </xf>
    <xf numFmtId="2" fontId="22" fillId="312" borderId="13" xfId="0" applyNumberFormat="1" applyFont="1" applyFill="1" applyBorder="1" applyAlignment="1">
      <alignment horizontal="center" wrapText="1"/>
    </xf>
    <xf numFmtId="2" fontId="22" fillId="52" borderId="14" xfId="0" applyNumberFormat="1" applyFont="1" applyFill="1" applyBorder="1" applyAlignment="1">
      <alignment horizontal="center" wrapText="1"/>
    </xf>
    <xf numFmtId="2" fontId="22" fillId="193" borderId="0" xfId="0" applyNumberFormat="1" applyFont="1" applyFill="1" applyBorder="1" applyAlignment="1">
      <alignment horizontal="center" wrapText="1"/>
    </xf>
    <xf numFmtId="2" fontId="22" fillId="479" borderId="0" xfId="0" applyNumberFormat="1" applyFont="1" applyFill="1" applyBorder="1" applyAlignment="1">
      <alignment horizontal="center" wrapText="1"/>
    </xf>
    <xf numFmtId="2" fontId="22" fillId="480" borderId="13" xfId="0" applyNumberFormat="1" applyFont="1" applyFill="1" applyBorder="1" applyAlignment="1">
      <alignment horizontal="center" wrapText="1"/>
    </xf>
    <xf numFmtId="2" fontId="22" fillId="80" borderId="14" xfId="0" applyNumberFormat="1" applyFont="1" applyFill="1" applyBorder="1" applyAlignment="1">
      <alignment horizontal="center" wrapText="1"/>
    </xf>
    <xf numFmtId="2" fontId="22" fillId="191" borderId="0" xfId="0" applyNumberFormat="1" applyFont="1" applyFill="1" applyBorder="1" applyAlignment="1">
      <alignment horizontal="center" wrapText="1"/>
    </xf>
    <xf numFmtId="2" fontId="22" fillId="71" borderId="0" xfId="0" applyNumberFormat="1" applyFont="1" applyFill="1" applyBorder="1" applyAlignment="1">
      <alignment horizontal="center" wrapText="1"/>
    </xf>
    <xf numFmtId="2" fontId="22" fillId="386" borderId="13" xfId="0" applyNumberFormat="1" applyFont="1" applyFill="1" applyBorder="1" applyAlignment="1">
      <alignment horizontal="center" wrapText="1"/>
    </xf>
    <xf numFmtId="2" fontId="22" fillId="139" borderId="14" xfId="0" applyNumberFormat="1" applyFont="1" applyFill="1" applyBorder="1" applyAlignment="1">
      <alignment horizontal="center" wrapText="1"/>
    </xf>
    <xf numFmtId="2" fontId="22" fillId="425" borderId="0" xfId="0" applyNumberFormat="1" applyFont="1" applyFill="1" applyBorder="1" applyAlignment="1">
      <alignment horizontal="center" wrapText="1"/>
    </xf>
    <xf numFmtId="2" fontId="22" fillId="140" borderId="0" xfId="0" applyNumberFormat="1" applyFont="1" applyFill="1" applyBorder="1" applyAlignment="1">
      <alignment horizontal="center" wrapText="1"/>
    </xf>
    <xf numFmtId="2" fontId="22" fillId="374" borderId="13" xfId="0" applyNumberFormat="1" applyFont="1" applyFill="1" applyBorder="1" applyAlignment="1">
      <alignment horizontal="center" wrapText="1"/>
    </xf>
    <xf numFmtId="2" fontId="22" fillId="76" borderId="14" xfId="0" applyNumberFormat="1" applyFont="1" applyFill="1" applyBorder="1" applyAlignment="1">
      <alignment horizontal="center" wrapText="1"/>
    </xf>
    <xf numFmtId="2" fontId="22" fillId="370" borderId="0" xfId="0" applyNumberFormat="1" applyFont="1" applyFill="1" applyBorder="1" applyAlignment="1">
      <alignment horizontal="center" wrapText="1"/>
    </xf>
    <xf numFmtId="2" fontId="22" fillId="124" borderId="13" xfId="0" applyNumberFormat="1" applyFont="1" applyFill="1" applyBorder="1" applyAlignment="1">
      <alignment horizontal="center" wrapText="1"/>
    </xf>
    <xf numFmtId="2" fontId="22" fillId="51" borderId="14" xfId="0" applyNumberFormat="1" applyFont="1" applyFill="1" applyBorder="1" applyAlignment="1">
      <alignment horizontal="center" wrapText="1"/>
    </xf>
    <xf numFmtId="2" fontId="22" fillId="87" borderId="0" xfId="0" applyNumberFormat="1" applyFont="1" applyFill="1" applyBorder="1" applyAlignment="1">
      <alignment horizontal="center" wrapText="1"/>
    </xf>
    <xf numFmtId="2" fontId="22" fillId="253" borderId="0" xfId="0" applyNumberFormat="1" applyFont="1" applyFill="1" applyBorder="1" applyAlignment="1">
      <alignment horizontal="center" wrapText="1"/>
    </xf>
    <xf numFmtId="2" fontId="22" fillId="223" borderId="0" xfId="0" applyNumberFormat="1" applyFont="1" applyFill="1" applyBorder="1" applyAlignment="1">
      <alignment horizontal="center" wrapText="1"/>
    </xf>
    <xf numFmtId="2" fontId="22" fillId="481" borderId="13" xfId="0" applyNumberFormat="1" applyFont="1" applyFill="1" applyBorder="1" applyAlignment="1">
      <alignment horizontal="center" wrapText="1"/>
    </xf>
    <xf numFmtId="2" fontId="22" fillId="243" borderId="14" xfId="0" applyNumberFormat="1" applyFont="1" applyFill="1" applyBorder="1" applyAlignment="1">
      <alignment horizontal="center" wrapText="1"/>
    </xf>
    <xf numFmtId="2" fontId="22" fillId="37" borderId="13" xfId="0" applyNumberFormat="1" applyFont="1" applyFill="1" applyBorder="1" applyAlignment="1">
      <alignment horizontal="center" wrapText="1"/>
    </xf>
    <xf numFmtId="2" fontId="22" fillId="126" borderId="14" xfId="0" applyNumberFormat="1" applyFont="1" applyFill="1" applyBorder="1" applyAlignment="1">
      <alignment horizontal="center" wrapText="1"/>
    </xf>
    <xf numFmtId="2" fontId="22" fillId="195" borderId="13" xfId="0" applyNumberFormat="1" applyFont="1" applyFill="1" applyBorder="1" applyAlignment="1">
      <alignment horizontal="center" wrapText="1"/>
    </xf>
    <xf numFmtId="2" fontId="22" fillId="56" borderId="14" xfId="0" applyNumberFormat="1" applyFont="1" applyFill="1" applyBorder="1" applyAlignment="1">
      <alignment horizontal="center" wrapText="1"/>
    </xf>
    <xf numFmtId="2" fontId="22" fillId="97" borderId="0" xfId="0" applyNumberFormat="1" applyFont="1" applyFill="1" applyBorder="1" applyAlignment="1">
      <alignment horizontal="center" wrapText="1"/>
    </xf>
    <xf numFmtId="2" fontId="22" fillId="205" borderId="13" xfId="0" applyNumberFormat="1" applyFont="1" applyFill="1" applyBorder="1" applyAlignment="1">
      <alignment horizontal="center" wrapText="1"/>
    </xf>
    <xf numFmtId="2" fontId="22" fillId="50" borderId="14" xfId="0" applyNumberFormat="1" applyFont="1" applyFill="1" applyBorder="1" applyAlignment="1">
      <alignment horizontal="center" wrapText="1"/>
    </xf>
    <xf numFmtId="2" fontId="22" fillId="38" borderId="0" xfId="0" applyNumberFormat="1" applyFont="1" applyFill="1" applyBorder="1" applyAlignment="1">
      <alignment horizontal="center" wrapText="1"/>
    </xf>
    <xf numFmtId="2" fontId="22" fillId="382" borderId="0" xfId="0" applyNumberFormat="1" applyFont="1" applyFill="1" applyBorder="1" applyAlignment="1">
      <alignment horizontal="center" wrapText="1"/>
    </xf>
    <xf numFmtId="2" fontId="22" fillId="55" borderId="13" xfId="0" applyNumberFormat="1" applyFont="1" applyFill="1" applyBorder="1" applyAlignment="1">
      <alignment horizontal="center" wrapText="1"/>
    </xf>
    <xf numFmtId="2" fontId="22" fillId="68" borderId="14" xfId="0" applyNumberFormat="1" applyFont="1" applyFill="1" applyBorder="1" applyAlignment="1">
      <alignment horizontal="center" wrapText="1"/>
    </xf>
    <xf numFmtId="2" fontId="22" fillId="476" borderId="13" xfId="0" applyNumberFormat="1" applyFont="1" applyFill="1" applyBorder="1" applyAlignment="1">
      <alignment horizontal="center" wrapText="1"/>
    </xf>
    <xf numFmtId="2" fontId="22" fillId="345" borderId="13" xfId="0" applyNumberFormat="1" applyFont="1" applyFill="1" applyBorder="1" applyAlignment="1">
      <alignment horizontal="center" wrapText="1"/>
    </xf>
    <xf numFmtId="2" fontId="22" fillId="114" borderId="14" xfId="0" applyNumberFormat="1" applyFont="1" applyFill="1" applyBorder="1" applyAlignment="1">
      <alignment horizontal="center" wrapText="1"/>
    </xf>
    <xf numFmtId="2" fontId="22" fillId="134" borderId="13" xfId="0" applyNumberFormat="1" applyFont="1" applyFill="1" applyBorder="1" applyAlignment="1">
      <alignment horizontal="center" wrapText="1"/>
    </xf>
    <xf numFmtId="2" fontId="22" fillId="327" borderId="14" xfId="0" applyNumberFormat="1" applyFont="1" applyFill="1" applyBorder="1" applyAlignment="1">
      <alignment horizontal="center" wrapText="1"/>
    </xf>
    <xf numFmtId="2" fontId="22" fillId="167" borderId="0" xfId="0" applyNumberFormat="1" applyFont="1" applyFill="1" applyBorder="1" applyAlignment="1">
      <alignment horizontal="center" wrapText="1"/>
    </xf>
    <xf numFmtId="2" fontId="22" fillId="347" borderId="13" xfId="0" applyNumberFormat="1" applyFont="1" applyFill="1" applyBorder="1" applyAlignment="1">
      <alignment horizontal="center" wrapText="1"/>
    </xf>
    <xf numFmtId="2" fontId="22" fillId="40" borderId="14" xfId="0" applyNumberFormat="1" applyFont="1" applyFill="1" applyBorder="1" applyAlignment="1">
      <alignment horizontal="center" wrapText="1"/>
    </xf>
    <xf numFmtId="2" fontId="22" fillId="210" borderId="14" xfId="0" applyNumberFormat="1" applyFont="1" applyFill="1" applyBorder="1" applyAlignment="1">
      <alignment horizontal="center" wrapText="1"/>
    </xf>
    <xf numFmtId="2" fontId="22" fillId="129" borderId="13" xfId="0" applyNumberFormat="1" applyFont="1" applyFill="1" applyBorder="1" applyAlignment="1">
      <alignment horizontal="center" wrapText="1"/>
    </xf>
    <xf numFmtId="2" fontId="22" fillId="482" borderId="0" xfId="0" applyNumberFormat="1" applyFont="1" applyFill="1" applyBorder="1" applyAlignment="1">
      <alignment horizontal="center" wrapText="1"/>
    </xf>
    <xf numFmtId="2" fontId="22" fillId="283" borderId="13" xfId="0" applyNumberFormat="1" applyFont="1" applyFill="1" applyBorder="1" applyAlignment="1">
      <alignment horizontal="center" wrapText="1"/>
    </xf>
    <xf numFmtId="2" fontId="22" fillId="155" borderId="14" xfId="0" applyNumberFormat="1" applyFont="1" applyFill="1" applyBorder="1" applyAlignment="1">
      <alignment horizontal="center" wrapText="1"/>
    </xf>
    <xf numFmtId="2" fontId="22" fillId="256" borderId="13" xfId="0" applyNumberFormat="1" applyFont="1" applyFill="1" applyBorder="1" applyAlignment="1">
      <alignment horizontal="center" wrapText="1"/>
    </xf>
    <xf numFmtId="2" fontId="22" fillId="198" borderId="14" xfId="0" applyNumberFormat="1" applyFont="1" applyFill="1" applyBorder="1" applyAlignment="1">
      <alignment horizontal="center" wrapText="1"/>
    </xf>
    <xf numFmtId="2" fontId="22" fillId="110" borderId="13" xfId="0" applyNumberFormat="1" applyFont="1" applyFill="1" applyBorder="1" applyAlignment="1">
      <alignment horizontal="center" wrapText="1"/>
    </xf>
    <xf numFmtId="2" fontId="22" fillId="70" borderId="14" xfId="0" applyNumberFormat="1" applyFont="1" applyFill="1" applyBorder="1" applyAlignment="1">
      <alignment horizontal="center" wrapText="1"/>
    </xf>
    <xf numFmtId="2" fontId="22" fillId="232" borderId="13" xfId="0" applyNumberFormat="1" applyFont="1" applyFill="1" applyBorder="1" applyAlignment="1">
      <alignment horizontal="center" wrapText="1"/>
    </xf>
    <xf numFmtId="2" fontId="22" fillId="82" borderId="0" xfId="0" applyNumberFormat="1" applyFont="1" applyFill="1" applyBorder="1" applyAlignment="1">
      <alignment horizontal="center" wrapText="1"/>
    </xf>
    <xf numFmtId="2" fontId="22" fillId="140" borderId="13" xfId="0" applyNumberFormat="1" applyFont="1" applyFill="1" applyBorder="1" applyAlignment="1">
      <alignment horizontal="center" wrapText="1"/>
    </xf>
    <xf numFmtId="2" fontId="22" fillId="197" borderId="14" xfId="0" applyNumberFormat="1" applyFont="1" applyFill="1" applyBorder="1" applyAlignment="1">
      <alignment horizontal="center" wrapText="1"/>
    </xf>
    <xf numFmtId="2" fontId="22" fillId="141" borderId="0" xfId="0" applyNumberFormat="1" applyFont="1" applyFill="1" applyBorder="1" applyAlignment="1">
      <alignment horizontal="center" wrapText="1"/>
    </xf>
    <xf numFmtId="2" fontId="22" fillId="123" borderId="13" xfId="0" applyNumberFormat="1" applyFont="1" applyFill="1" applyBorder="1" applyAlignment="1">
      <alignment horizontal="center" wrapText="1"/>
    </xf>
    <xf numFmtId="2" fontId="22" fillId="75" borderId="14" xfId="0" applyNumberFormat="1" applyFont="1" applyFill="1" applyBorder="1" applyAlignment="1">
      <alignment horizontal="center" wrapText="1"/>
    </xf>
    <xf numFmtId="2" fontId="22" fillId="63" borderId="13" xfId="0" applyNumberFormat="1" applyFont="1" applyFill="1" applyBorder="1" applyAlignment="1">
      <alignment horizontal="center" wrapText="1"/>
    </xf>
    <xf numFmtId="2" fontId="22" fillId="130" borderId="14" xfId="0" applyNumberFormat="1" applyFont="1" applyFill="1" applyBorder="1" applyAlignment="1">
      <alignment horizontal="center" wrapText="1"/>
    </xf>
    <xf numFmtId="2" fontId="22" fillId="483" borderId="0" xfId="0" applyNumberFormat="1" applyFont="1" applyFill="1" applyBorder="1" applyAlignment="1">
      <alignment horizontal="center" wrapText="1"/>
    </xf>
    <xf numFmtId="2" fontId="22" fillId="190" borderId="0" xfId="0" applyNumberFormat="1" applyFont="1" applyFill="1" applyBorder="1" applyAlignment="1">
      <alignment horizontal="center" wrapText="1"/>
    </xf>
    <xf numFmtId="2" fontId="22" fillId="320" borderId="14" xfId="0" applyNumberFormat="1" applyFont="1" applyFill="1" applyBorder="1" applyAlignment="1">
      <alignment horizontal="center" wrapText="1"/>
    </xf>
    <xf numFmtId="2" fontId="22" fillId="315" borderId="0" xfId="0" applyNumberFormat="1" applyFont="1" applyFill="1" applyBorder="1" applyAlignment="1">
      <alignment horizontal="center" wrapText="1"/>
    </xf>
    <xf numFmtId="2" fontId="22" fillId="212" borderId="13" xfId="0" applyNumberFormat="1" applyFont="1" applyFill="1" applyBorder="1" applyAlignment="1">
      <alignment horizontal="center" wrapText="1"/>
    </xf>
    <xf numFmtId="2" fontId="22" fillId="65" borderId="14" xfId="0" applyNumberFormat="1" applyFont="1" applyFill="1" applyBorder="1" applyAlignment="1">
      <alignment horizontal="center" wrapText="1"/>
    </xf>
    <xf numFmtId="2" fontId="22" fillId="154" borderId="13" xfId="0" applyNumberFormat="1" applyFont="1" applyFill="1" applyBorder="1" applyAlignment="1">
      <alignment horizontal="center" wrapText="1"/>
    </xf>
    <xf numFmtId="2" fontId="22" fillId="54" borderId="14" xfId="0" applyNumberFormat="1" applyFont="1" applyFill="1" applyBorder="1" applyAlignment="1">
      <alignment horizontal="center" wrapText="1"/>
    </xf>
    <xf numFmtId="2" fontId="22" fillId="217" borderId="13" xfId="0" applyNumberFormat="1" applyFont="1" applyFill="1" applyBorder="1" applyAlignment="1">
      <alignment horizontal="center" wrapText="1"/>
    </xf>
    <xf numFmtId="2" fontId="22" fillId="377" borderId="14" xfId="0" applyNumberFormat="1" applyFont="1" applyFill="1" applyBorder="1" applyAlignment="1">
      <alignment horizontal="center" wrapText="1"/>
    </xf>
    <xf numFmtId="2" fontId="22" fillId="61" borderId="14" xfId="0" applyNumberFormat="1" applyFont="1" applyFill="1" applyBorder="1" applyAlignment="1">
      <alignment horizontal="center" wrapText="1"/>
    </xf>
    <xf numFmtId="2" fontId="22" fillId="130" borderId="0" xfId="0" applyNumberFormat="1" applyFont="1" applyFill="1" applyBorder="1" applyAlignment="1">
      <alignment horizontal="center" wrapText="1"/>
    </xf>
    <xf numFmtId="2" fontId="22" fillId="410" borderId="0" xfId="0" applyNumberFormat="1" applyFont="1" applyFill="1" applyBorder="1" applyAlignment="1">
      <alignment horizontal="center" wrapText="1"/>
    </xf>
    <xf numFmtId="2" fontId="22" fillId="306" borderId="14" xfId="0" applyNumberFormat="1" applyFont="1" applyFill="1" applyBorder="1" applyAlignment="1">
      <alignment horizontal="center" wrapText="1"/>
    </xf>
    <xf numFmtId="2" fontId="22" fillId="239" borderId="13" xfId="0" applyNumberFormat="1" applyFont="1" applyFill="1" applyBorder="1" applyAlignment="1">
      <alignment horizontal="center" wrapText="1"/>
    </xf>
    <xf numFmtId="2" fontId="22" fillId="180" borderId="14" xfId="0" applyNumberFormat="1" applyFont="1" applyFill="1" applyBorder="1" applyAlignment="1">
      <alignment horizontal="center" wrapText="1"/>
    </xf>
    <xf numFmtId="2" fontId="22" fillId="264" borderId="14" xfId="0" applyNumberFormat="1" applyFont="1" applyFill="1" applyBorder="1" applyAlignment="1">
      <alignment horizontal="center" wrapText="1"/>
    </xf>
    <xf numFmtId="2" fontId="22" fillId="146" borderId="0" xfId="0" applyNumberFormat="1" applyFont="1" applyFill="1" applyBorder="1" applyAlignment="1">
      <alignment horizontal="center" wrapText="1"/>
    </xf>
    <xf numFmtId="2" fontId="22" fillId="102" borderId="13" xfId="0" applyNumberFormat="1" applyFont="1" applyFill="1" applyBorder="1" applyAlignment="1">
      <alignment horizontal="center" wrapText="1"/>
    </xf>
    <xf numFmtId="2" fontId="22" fillId="58" borderId="14" xfId="0" applyNumberFormat="1" applyFont="1" applyFill="1" applyBorder="1" applyAlignment="1">
      <alignment horizontal="center" wrapText="1"/>
    </xf>
    <xf numFmtId="2" fontId="22" fillId="484" borderId="0" xfId="0" applyNumberFormat="1" applyFont="1" applyFill="1" applyBorder="1" applyAlignment="1">
      <alignment horizontal="center" wrapText="1"/>
    </xf>
    <xf numFmtId="2" fontId="22" fillId="39" borderId="14" xfId="0" applyNumberFormat="1" applyFont="1" applyFill="1" applyBorder="1" applyAlignment="1">
      <alignment horizontal="center" wrapText="1"/>
    </xf>
    <xf numFmtId="2" fontId="22" fillId="190" borderId="13" xfId="0" applyNumberFormat="1" applyFont="1" applyFill="1" applyBorder="1" applyAlignment="1">
      <alignment horizontal="center" wrapText="1"/>
    </xf>
    <xf numFmtId="2" fontId="22" fillId="220" borderId="14" xfId="0" applyNumberFormat="1" applyFont="1" applyFill="1" applyBorder="1" applyAlignment="1">
      <alignment horizontal="center" wrapText="1"/>
    </xf>
    <xf numFmtId="2" fontId="22" fillId="206" borderId="14" xfId="0" applyNumberFormat="1" applyFont="1" applyFill="1" applyBorder="1" applyAlignment="1">
      <alignment horizontal="center" wrapText="1"/>
    </xf>
    <xf numFmtId="2" fontId="22" fillId="282" borderId="0" xfId="0" applyNumberFormat="1" applyFont="1" applyFill="1" applyBorder="1" applyAlignment="1">
      <alignment horizontal="center" wrapText="1"/>
    </xf>
    <xf numFmtId="2" fontId="22" fillId="108" borderId="13" xfId="0" applyNumberFormat="1" applyFont="1" applyFill="1" applyBorder="1" applyAlignment="1">
      <alignment horizontal="center" wrapText="1"/>
    </xf>
    <xf numFmtId="2" fontId="22" fillId="67" borderId="14" xfId="0" applyNumberFormat="1" applyFont="1" applyFill="1" applyBorder="1" applyAlignment="1">
      <alignment horizontal="center" wrapText="1"/>
    </xf>
    <xf numFmtId="2" fontId="22" fillId="233" borderId="13" xfId="0" applyNumberFormat="1" applyFont="1" applyFill="1" applyBorder="1" applyAlignment="1">
      <alignment horizontal="center" wrapText="1"/>
    </xf>
    <xf numFmtId="2" fontId="22" fillId="213" borderId="14" xfId="0" applyNumberFormat="1" applyFont="1" applyFill="1" applyBorder="1" applyAlignment="1">
      <alignment horizontal="center" wrapText="1"/>
    </xf>
    <xf numFmtId="2" fontId="22" fillId="485" borderId="0" xfId="0" applyNumberFormat="1" applyFont="1" applyFill="1" applyBorder="1" applyAlignment="1">
      <alignment horizontal="center" wrapText="1"/>
    </xf>
    <xf numFmtId="2" fontId="22" fillId="238" borderId="13" xfId="0" applyNumberFormat="1" applyFont="1" applyFill="1" applyBorder="1" applyAlignment="1">
      <alignment horizontal="center" wrapText="1"/>
    </xf>
    <xf numFmtId="2" fontId="22" fillId="121" borderId="14" xfId="0" applyNumberFormat="1" applyFont="1" applyFill="1" applyBorder="1" applyAlignment="1">
      <alignment horizontal="center" wrapText="1"/>
    </xf>
    <xf numFmtId="2" fontId="22" fillId="132" borderId="13" xfId="0" applyNumberFormat="1" applyFont="1" applyFill="1" applyBorder="1" applyAlignment="1">
      <alignment horizontal="center" wrapText="1"/>
    </xf>
    <xf numFmtId="2" fontId="22" fillId="59" borderId="14" xfId="0" applyNumberFormat="1" applyFont="1" applyFill="1" applyBorder="1" applyAlignment="1">
      <alignment horizontal="center" wrapText="1"/>
    </xf>
    <xf numFmtId="2" fontId="22" fillId="344" borderId="0" xfId="0" applyNumberFormat="1" applyFont="1" applyFill="1" applyBorder="1" applyAlignment="1">
      <alignment horizontal="center" wrapText="1"/>
    </xf>
    <xf numFmtId="2" fontId="22" fillId="115" borderId="14" xfId="0" applyNumberFormat="1" applyFont="1" applyFill="1" applyBorder="1" applyAlignment="1">
      <alignment horizontal="center" wrapText="1"/>
    </xf>
    <xf numFmtId="2" fontId="22" fillId="147" borderId="13" xfId="0" applyNumberFormat="1" applyFont="1" applyFill="1" applyBorder="1" applyAlignment="1">
      <alignment horizontal="center" wrapText="1"/>
    </xf>
    <xf numFmtId="2" fontId="22" fillId="96" borderId="14" xfId="0" applyNumberFormat="1" applyFont="1" applyFill="1" applyBorder="1" applyAlignment="1">
      <alignment horizontal="center" wrapText="1"/>
    </xf>
    <xf numFmtId="2" fontId="22" fillId="143" borderId="0" xfId="0" applyNumberFormat="1" applyFont="1" applyFill="1" applyBorder="1" applyAlignment="1">
      <alignment horizontal="center" wrapText="1"/>
    </xf>
    <xf numFmtId="2" fontId="22" fillId="260" borderId="13" xfId="0" applyNumberFormat="1" applyFont="1" applyFill="1" applyBorder="1" applyAlignment="1">
      <alignment horizontal="center" wrapText="1"/>
    </xf>
    <xf numFmtId="2" fontId="22" fillId="295" borderId="13" xfId="0" applyNumberFormat="1" applyFont="1" applyFill="1" applyBorder="1" applyAlignment="1">
      <alignment horizontal="center" wrapText="1"/>
    </xf>
    <xf numFmtId="2" fontId="22" fillId="85" borderId="14" xfId="0" applyNumberFormat="1" applyFont="1" applyFill="1" applyBorder="1" applyAlignment="1">
      <alignment horizontal="center" wrapText="1"/>
    </xf>
    <xf numFmtId="2" fontId="22" fillId="118" borderId="13" xfId="0" applyNumberFormat="1" applyFont="1" applyFill="1" applyBorder="1" applyAlignment="1">
      <alignment horizontal="center" wrapText="1"/>
    </xf>
    <xf numFmtId="2" fontId="22" fillId="176" borderId="14" xfId="0" applyNumberFormat="1" applyFont="1" applyFill="1" applyBorder="1" applyAlignment="1">
      <alignment horizontal="center" wrapText="1"/>
    </xf>
    <xf numFmtId="2" fontId="22" fillId="148" borderId="13" xfId="0" applyNumberFormat="1" applyFont="1" applyFill="1" applyBorder="1" applyAlignment="1">
      <alignment horizontal="center" wrapText="1"/>
    </xf>
    <xf numFmtId="2" fontId="22" fillId="193" borderId="13" xfId="0" applyNumberFormat="1" applyFont="1" applyFill="1" applyBorder="1" applyAlignment="1">
      <alignment horizontal="center" wrapText="1"/>
    </xf>
    <xf numFmtId="2" fontId="22" fillId="41" borderId="14" xfId="0" applyNumberFormat="1" applyFont="1" applyFill="1" applyBorder="1" applyAlignment="1">
      <alignment horizontal="center" wrapText="1"/>
    </xf>
    <xf numFmtId="2" fontId="22" fillId="367" borderId="14" xfId="0" applyNumberFormat="1" applyFont="1" applyFill="1" applyBorder="1" applyAlignment="1">
      <alignment horizontal="center" wrapText="1"/>
    </xf>
    <xf numFmtId="2" fontId="22" fillId="489" borderId="0" xfId="0" applyNumberFormat="1" applyFont="1" applyFill="1" applyBorder="1" applyAlignment="1">
      <alignment horizontal="center" wrapText="1"/>
    </xf>
    <xf numFmtId="2" fontId="22" fillId="490" borderId="0" xfId="0" applyNumberFormat="1" applyFont="1" applyFill="1" applyBorder="1" applyAlignment="1">
      <alignment horizontal="center" wrapText="1"/>
    </xf>
    <xf numFmtId="2" fontId="22" fillId="246" borderId="14" xfId="0" applyNumberFormat="1" applyFont="1" applyFill="1" applyBorder="1" applyAlignment="1">
      <alignment horizontal="center" wrapText="1"/>
    </xf>
    <xf numFmtId="2" fontId="22" fillId="92" borderId="0" xfId="0" applyNumberFormat="1" applyFont="1" applyFill="1" applyBorder="1" applyAlignment="1">
      <alignment horizontal="center" wrapText="1"/>
    </xf>
    <xf numFmtId="2" fontId="22" fillId="101" borderId="13" xfId="0" applyNumberFormat="1" applyFont="1" applyFill="1" applyBorder="1" applyAlignment="1">
      <alignment horizontal="center" wrapText="1"/>
    </xf>
    <xf numFmtId="2" fontId="22" fillId="349" borderId="14" xfId="0" applyNumberFormat="1" applyFont="1" applyFill="1" applyBorder="1" applyAlignment="1">
      <alignment horizontal="center" wrapText="1"/>
    </xf>
    <xf numFmtId="2" fontId="22" fillId="290" borderId="13" xfId="0" applyNumberFormat="1" applyFont="1" applyFill="1" applyBorder="1" applyAlignment="1">
      <alignment horizontal="center" wrapText="1"/>
    </xf>
    <xf numFmtId="2" fontId="22" fillId="299" borderId="0" xfId="0" applyNumberFormat="1" applyFont="1" applyFill="1" applyBorder="1" applyAlignment="1">
      <alignment horizontal="center" wrapText="1"/>
    </xf>
    <xf numFmtId="2" fontId="22" fillId="179" borderId="14" xfId="0" applyNumberFormat="1" applyFont="1" applyFill="1" applyBorder="1" applyAlignment="1">
      <alignment horizontal="center" wrapText="1"/>
    </xf>
    <xf numFmtId="2" fontId="22" fillId="94" borderId="13" xfId="0" applyNumberFormat="1" applyFont="1" applyFill="1" applyBorder="1" applyAlignment="1">
      <alignment horizontal="center" wrapText="1"/>
    </xf>
    <xf numFmtId="2" fontId="22" fillId="443" borderId="14" xfId="0" applyNumberFormat="1" applyFont="1" applyFill="1" applyBorder="1" applyAlignment="1">
      <alignment horizontal="center" wrapText="1"/>
    </xf>
    <xf numFmtId="2" fontId="22" fillId="221" borderId="14" xfId="0" applyNumberFormat="1" applyFont="1" applyFill="1" applyBorder="1" applyAlignment="1">
      <alignment horizontal="center" wrapText="1"/>
    </xf>
    <xf numFmtId="2" fontId="22" fillId="316" borderId="14" xfId="0" applyNumberFormat="1" applyFont="1" applyFill="1" applyBorder="1" applyAlignment="1">
      <alignment horizontal="center" wrapText="1"/>
    </xf>
    <xf numFmtId="2" fontId="22" fillId="387" borderId="0" xfId="0" applyNumberFormat="1" applyFont="1" applyFill="1" applyBorder="1" applyAlignment="1">
      <alignment horizontal="center" wrapText="1"/>
    </xf>
    <xf numFmtId="2" fontId="22" fillId="100" borderId="14" xfId="0" applyNumberFormat="1" applyFont="1" applyFill="1" applyBorder="1" applyAlignment="1">
      <alignment horizontal="center" wrapText="1"/>
    </xf>
    <xf numFmtId="2" fontId="22" fillId="166" borderId="0" xfId="0" applyNumberFormat="1" applyFont="1" applyFill="1" applyBorder="1" applyAlignment="1">
      <alignment horizontal="center" wrapText="1"/>
    </xf>
    <xf numFmtId="2" fontId="22" fillId="384" borderId="0" xfId="0" applyNumberFormat="1" applyFont="1" applyFill="1" applyBorder="1" applyAlignment="1">
      <alignment horizontal="center" wrapText="1"/>
    </xf>
    <xf numFmtId="2" fontId="22" fillId="404" borderId="13" xfId="0" applyNumberFormat="1" applyFont="1" applyFill="1" applyBorder="1" applyAlignment="1">
      <alignment horizontal="center" wrapText="1"/>
    </xf>
    <xf numFmtId="2" fontId="22" fillId="407" borderId="14" xfId="0" applyNumberFormat="1" applyFont="1" applyFill="1" applyBorder="1" applyAlignment="1">
      <alignment horizontal="center" wrapText="1"/>
    </xf>
    <xf numFmtId="2" fontId="22" fillId="421" borderId="0" xfId="0" applyNumberFormat="1" applyFont="1" applyFill="1" applyBorder="1" applyAlignment="1">
      <alignment horizontal="center" wrapText="1"/>
    </xf>
    <xf numFmtId="2" fontId="22" fillId="460" borderId="0" xfId="0" applyNumberFormat="1" applyFont="1" applyFill="1" applyBorder="1" applyAlignment="1">
      <alignment horizontal="center" wrapText="1"/>
    </xf>
    <xf numFmtId="2" fontId="22" fillId="277" borderId="0" xfId="0" applyNumberFormat="1" applyFont="1" applyFill="1" applyBorder="1" applyAlignment="1">
      <alignment horizontal="center" wrapText="1"/>
    </xf>
    <xf numFmtId="2" fontId="22" fillId="277" borderId="13" xfId="0" applyNumberFormat="1" applyFont="1" applyFill="1" applyBorder="1" applyAlignment="1">
      <alignment horizontal="center" wrapText="1"/>
    </xf>
    <xf numFmtId="2" fontId="22" fillId="276" borderId="14" xfId="0" applyNumberFormat="1" applyFont="1" applyFill="1" applyBorder="1" applyAlignment="1">
      <alignment horizontal="center" wrapText="1"/>
    </xf>
    <xf numFmtId="2" fontId="22" fillId="288" borderId="0" xfId="0" applyNumberFormat="1" applyFont="1" applyFill="1" applyBorder="1" applyAlignment="1">
      <alignment horizontal="center" wrapText="1"/>
    </xf>
    <xf numFmtId="2" fontId="22" fillId="492" borderId="0" xfId="0" applyNumberFormat="1" applyFont="1" applyFill="1" applyBorder="1" applyAlignment="1">
      <alignment horizontal="center" wrapText="1"/>
    </xf>
    <xf numFmtId="2" fontId="22" fillId="474" borderId="0" xfId="0" applyNumberFormat="1" applyFont="1" applyFill="1" applyBorder="1" applyAlignment="1">
      <alignment horizontal="center" wrapText="1"/>
    </xf>
    <xf numFmtId="2" fontId="22" fillId="248" borderId="14" xfId="0" applyNumberFormat="1" applyFont="1" applyFill="1" applyBorder="1" applyAlignment="1">
      <alignment horizontal="center" wrapText="1"/>
    </xf>
    <xf numFmtId="2" fontId="22" fillId="286" borderId="0" xfId="0" applyNumberFormat="1" applyFont="1" applyFill="1" applyBorder="1" applyAlignment="1">
      <alignment horizontal="center" wrapText="1"/>
    </xf>
    <xf numFmtId="2" fontId="22" fillId="322" borderId="0" xfId="0" applyNumberFormat="1" applyFont="1" applyFill="1" applyBorder="1" applyAlignment="1">
      <alignment horizontal="center" wrapText="1"/>
    </xf>
    <xf numFmtId="2" fontId="22" fillId="465" borderId="14" xfId="0" applyNumberFormat="1" applyFont="1" applyFill="1" applyBorder="1" applyAlignment="1">
      <alignment horizontal="center" wrapText="1"/>
    </xf>
    <xf numFmtId="2" fontId="22" fillId="493" borderId="0" xfId="0" applyNumberFormat="1" applyFont="1" applyFill="1" applyBorder="1" applyAlignment="1">
      <alignment horizontal="center" wrapText="1"/>
    </xf>
    <xf numFmtId="2" fontId="22" fillId="229" borderId="13" xfId="0" applyNumberFormat="1" applyFont="1" applyFill="1" applyBorder="1" applyAlignment="1">
      <alignment horizontal="center" wrapText="1"/>
    </xf>
    <xf numFmtId="2" fontId="22" fillId="426" borderId="14" xfId="0" applyNumberFormat="1" applyFont="1" applyFill="1" applyBorder="1" applyAlignment="1">
      <alignment horizontal="center" wrapText="1"/>
    </xf>
    <xf numFmtId="2" fontId="22" fillId="328" borderId="0" xfId="0" applyNumberFormat="1" applyFont="1" applyFill="1" applyBorder="1" applyAlignment="1">
      <alignment horizontal="center" wrapText="1"/>
    </xf>
    <xf numFmtId="2" fontId="22" fillId="307" borderId="13" xfId="0" applyNumberFormat="1" applyFont="1" applyFill="1" applyBorder="1" applyAlignment="1">
      <alignment horizontal="center" wrapText="1"/>
    </xf>
    <xf numFmtId="2" fontId="22" fillId="432" borderId="14" xfId="0" applyNumberFormat="1" applyFont="1" applyFill="1" applyBorder="1" applyAlignment="1">
      <alignment horizontal="center" wrapText="1"/>
    </xf>
    <xf numFmtId="2" fontId="22" fillId="407" borderId="0" xfId="0" applyNumberFormat="1" applyFont="1" applyFill="1" applyBorder="1" applyAlignment="1">
      <alignment horizontal="center" wrapText="1"/>
    </xf>
    <xf numFmtId="2" fontId="22" fillId="495" borderId="0" xfId="0" applyNumberFormat="1" applyFont="1" applyFill="1" applyBorder="1" applyAlignment="1">
      <alignment horizontal="center" wrapText="1"/>
    </xf>
    <xf numFmtId="2" fontId="22" fillId="495" borderId="13" xfId="0" applyNumberFormat="1" applyFont="1" applyFill="1" applyBorder="1" applyAlignment="1">
      <alignment horizontal="center" wrapText="1"/>
    </xf>
    <xf numFmtId="2" fontId="22" fillId="294" borderId="14" xfId="0" applyNumberFormat="1" applyFont="1" applyFill="1" applyBorder="1" applyAlignment="1">
      <alignment horizontal="center" wrapText="1"/>
    </xf>
    <xf numFmtId="2" fontId="22" fillId="305" borderId="0" xfId="0" applyNumberFormat="1" applyFont="1" applyFill="1" applyBorder="1" applyAlignment="1">
      <alignment horizontal="center" wrapText="1"/>
    </xf>
    <xf numFmtId="2" fontId="22" fillId="488" borderId="0" xfId="0" applyNumberFormat="1" applyFont="1" applyFill="1" applyBorder="1" applyAlignment="1">
      <alignment horizontal="center" wrapText="1"/>
    </xf>
    <xf numFmtId="2" fontId="22" fillId="227" borderId="14" xfId="0" applyNumberFormat="1" applyFont="1" applyFill="1" applyBorder="1" applyAlignment="1">
      <alignment horizontal="center" wrapText="1"/>
    </xf>
    <xf numFmtId="2" fontId="22" fillId="448" borderId="0" xfId="0" applyNumberFormat="1" applyFont="1" applyFill="1" applyBorder="1" applyAlignment="1">
      <alignment horizontal="center" wrapText="1"/>
    </xf>
    <xf numFmtId="2" fontId="22" fillId="497" borderId="0" xfId="0" applyNumberFormat="1" applyFont="1" applyFill="1" applyBorder="1" applyAlignment="1">
      <alignment horizontal="center" wrapText="1"/>
    </xf>
    <xf numFmtId="2" fontId="22" fillId="135" borderId="13" xfId="0" applyNumberFormat="1" applyFont="1" applyFill="1" applyBorder="1" applyAlignment="1">
      <alignment horizontal="center" wrapText="1"/>
    </xf>
    <xf numFmtId="2" fontId="22" fillId="151" borderId="14" xfId="0" applyNumberFormat="1" applyFont="1" applyFill="1" applyBorder="1" applyAlignment="1">
      <alignment horizontal="center" wrapText="1"/>
    </xf>
    <xf numFmtId="2" fontId="22" fillId="138" borderId="0" xfId="0" applyNumberFormat="1" applyFont="1" applyFill="1" applyBorder="1" applyAlignment="1">
      <alignment horizontal="center" wrapText="1"/>
    </xf>
    <xf numFmtId="2" fontId="22" fillId="74" borderId="14" xfId="0" applyNumberFormat="1" applyFont="1" applyFill="1" applyBorder="1" applyAlignment="1">
      <alignment horizontal="center" wrapText="1"/>
    </xf>
    <xf numFmtId="2" fontId="22" fillId="456" borderId="0" xfId="0" applyNumberFormat="1" applyFont="1" applyFill="1" applyBorder="1" applyAlignment="1">
      <alignment horizontal="center" wrapText="1"/>
    </xf>
    <xf numFmtId="2" fontId="22" fillId="403" borderId="0" xfId="0" applyNumberFormat="1" applyFont="1" applyFill="1" applyBorder="1" applyAlignment="1">
      <alignment horizontal="center" wrapText="1"/>
    </xf>
    <xf numFmtId="2" fontId="22" fillId="498" borderId="13" xfId="0" applyNumberFormat="1" applyFont="1" applyFill="1" applyBorder="1" applyAlignment="1">
      <alignment horizontal="center" wrapText="1"/>
    </xf>
    <xf numFmtId="2" fontId="22" fillId="78" borderId="14" xfId="0" applyNumberFormat="1" applyFont="1" applyFill="1" applyBorder="1" applyAlignment="1">
      <alignment horizontal="center" wrapText="1"/>
    </xf>
    <xf numFmtId="2" fontId="22" fillId="401" borderId="0" xfId="0" applyNumberFormat="1" applyFont="1" applyFill="1" applyBorder="1" applyAlignment="1">
      <alignment horizontal="center" wrapText="1"/>
    </xf>
    <xf numFmtId="2" fontId="22" fillId="337" borderId="0" xfId="0" applyNumberFormat="1" applyFont="1" applyFill="1" applyBorder="1" applyAlignment="1">
      <alignment horizontal="center" wrapText="1"/>
    </xf>
    <xf numFmtId="2" fontId="22" fillId="200" borderId="13" xfId="0" applyNumberFormat="1" applyFont="1" applyFill="1" applyBorder="1" applyAlignment="1">
      <alignment horizontal="center" wrapText="1"/>
    </xf>
    <xf numFmtId="2" fontId="22" fillId="111" borderId="14" xfId="0" applyNumberFormat="1" applyFont="1" applyFill="1" applyBorder="1" applyAlignment="1">
      <alignment horizontal="center" wrapText="1"/>
    </xf>
    <xf numFmtId="2" fontId="22" fillId="337" borderId="14" xfId="0" applyNumberFormat="1" applyFont="1" applyFill="1" applyBorder="1" applyAlignment="1">
      <alignment horizontal="center" wrapText="1"/>
    </xf>
    <xf numFmtId="2" fontId="22" fillId="499" borderId="0" xfId="0" applyNumberFormat="1" applyFont="1" applyFill="1" applyBorder="1" applyAlignment="1">
      <alignment horizontal="center" wrapText="1"/>
    </xf>
    <xf numFmtId="2" fontId="22" fillId="215" borderId="0" xfId="0" applyNumberFormat="1" applyFont="1" applyFill="1" applyBorder="1" applyAlignment="1">
      <alignment horizontal="center" wrapText="1"/>
    </xf>
    <xf numFmtId="2" fontId="22" fillId="493" borderId="14" xfId="0" applyNumberFormat="1" applyFont="1" applyFill="1" applyBorder="1" applyAlignment="1">
      <alignment horizontal="center" wrapText="1"/>
    </xf>
    <xf numFmtId="2" fontId="22" fillId="42" borderId="0" xfId="0" applyNumberFormat="1" applyFont="1" applyFill="1" applyBorder="1" applyAlignment="1">
      <alignment horizontal="center" wrapText="1"/>
    </xf>
    <xf numFmtId="2" fontId="22" fillId="480" borderId="0" xfId="0" applyNumberFormat="1" applyFont="1" applyFill="1" applyBorder="1" applyAlignment="1">
      <alignment horizontal="center" wrapText="1"/>
    </xf>
    <xf numFmtId="2" fontId="22" fillId="187" borderId="13" xfId="0" applyNumberFormat="1" applyFont="1" applyFill="1" applyBorder="1" applyAlignment="1">
      <alignment horizontal="center" wrapText="1"/>
    </xf>
    <xf numFmtId="2" fontId="22" fillId="122" borderId="14" xfId="0" applyNumberFormat="1" applyFont="1" applyFill="1" applyBorder="1" applyAlignment="1">
      <alignment horizontal="center" wrapText="1"/>
    </xf>
    <xf numFmtId="2" fontId="22" fillId="362" borderId="13" xfId="0" applyNumberFormat="1" applyFont="1" applyFill="1" applyBorder="1" applyAlignment="1">
      <alignment horizontal="center" wrapText="1"/>
    </xf>
    <xf numFmtId="2" fontId="22" fillId="305" borderId="14" xfId="0" applyNumberFormat="1" applyFont="1" applyFill="1" applyBorder="1" applyAlignment="1">
      <alignment horizontal="center" wrapText="1"/>
    </xf>
    <xf numFmtId="2" fontId="22" fillId="253" borderId="14" xfId="0" applyNumberFormat="1" applyFont="1" applyFill="1" applyBorder="1" applyAlignment="1">
      <alignment horizontal="center" wrapText="1"/>
    </xf>
    <xf numFmtId="2" fontId="22" fillId="158" borderId="0" xfId="0" applyNumberFormat="1" applyFont="1" applyFill="1" applyBorder="1" applyAlignment="1">
      <alignment horizontal="center" wrapText="1"/>
    </xf>
    <xf numFmtId="2" fontId="22" fillId="274" borderId="13" xfId="0" applyNumberFormat="1" applyFont="1" applyFill="1" applyBorder="1" applyAlignment="1">
      <alignment horizontal="center" wrapText="1"/>
    </xf>
    <xf numFmtId="2" fontId="22" fillId="107" borderId="14" xfId="0" applyNumberFormat="1" applyFont="1" applyFill="1" applyBorder="1" applyAlignment="1">
      <alignment horizontal="center" wrapText="1"/>
    </xf>
    <xf numFmtId="2" fontId="22" fillId="255" borderId="0" xfId="0" applyNumberFormat="1" applyFont="1" applyFill="1" applyBorder="1" applyAlignment="1">
      <alignment horizontal="center" wrapText="1"/>
    </xf>
    <xf numFmtId="2" fontId="22" fillId="146" borderId="14" xfId="0" applyNumberFormat="1" applyFont="1" applyFill="1" applyBorder="1" applyAlignment="1">
      <alignment horizontal="center" wrapText="1"/>
    </xf>
    <xf numFmtId="2" fontId="22" fillId="306" borderId="0" xfId="0" applyNumberFormat="1" applyFont="1" applyFill="1" applyBorder="1" applyAlignment="1">
      <alignment horizontal="center" wrapText="1"/>
    </xf>
    <xf numFmtId="2" fontId="22" fillId="280" borderId="13" xfId="0" applyNumberFormat="1" applyFont="1" applyFill="1" applyBorder="1" applyAlignment="1">
      <alignment horizontal="center" wrapText="1"/>
    </xf>
    <xf numFmtId="2" fontId="22" fillId="182" borderId="13" xfId="0" applyNumberFormat="1" applyFont="1" applyFill="1" applyBorder="1" applyAlignment="1">
      <alignment horizontal="center" wrapText="1"/>
    </xf>
    <xf numFmtId="2" fontId="22" fillId="60" borderId="14" xfId="0" applyNumberFormat="1" applyFont="1" applyFill="1" applyBorder="1" applyAlignment="1">
      <alignment horizontal="center" wrapText="1"/>
    </xf>
    <xf numFmtId="2" fontId="22" fillId="162" borderId="14" xfId="0" applyNumberFormat="1" applyFont="1" applyFill="1" applyBorder="1" applyAlignment="1">
      <alignment horizontal="center" wrapText="1"/>
    </xf>
    <xf numFmtId="2" fontId="22" fillId="498" borderId="0" xfId="0" applyNumberFormat="1" applyFont="1" applyFill="1" applyBorder="1" applyAlignment="1">
      <alignment horizontal="center" wrapText="1"/>
    </xf>
    <xf numFmtId="2" fontId="22" fillId="194" borderId="13" xfId="0" applyNumberFormat="1" applyFont="1" applyFill="1" applyBorder="1" applyAlignment="1">
      <alignment horizontal="center" wrapText="1"/>
    </xf>
    <xf numFmtId="2" fontId="22" fillId="89" borderId="14" xfId="0" applyNumberFormat="1" applyFont="1" applyFill="1" applyBorder="1" applyAlignment="1">
      <alignment horizontal="center" wrapText="1"/>
    </xf>
    <xf numFmtId="2" fontId="22" fillId="257" borderId="13" xfId="0" applyNumberFormat="1" applyFont="1" applyFill="1" applyBorder="1" applyAlignment="1">
      <alignment horizontal="center" wrapText="1"/>
    </xf>
    <xf numFmtId="2" fontId="22" fillId="143" borderId="14" xfId="0" applyNumberFormat="1" applyFont="1" applyFill="1" applyBorder="1" applyAlignment="1">
      <alignment horizontal="center" wrapText="1"/>
    </xf>
    <xf numFmtId="2" fontId="22" fillId="332" borderId="13" xfId="0" applyNumberFormat="1" applyFont="1" applyFill="1" applyBorder="1" applyAlignment="1">
      <alignment horizontal="center" wrapText="1"/>
    </xf>
    <xf numFmtId="2" fontId="22" fillId="164" borderId="14" xfId="0" applyNumberFormat="1" applyFont="1" applyFill="1" applyBorder="1" applyAlignment="1">
      <alignment horizontal="center" wrapText="1"/>
    </xf>
    <xf numFmtId="2" fontId="22" fillId="177" borderId="13" xfId="0" applyNumberFormat="1" applyFont="1" applyFill="1" applyBorder="1" applyAlignment="1">
      <alignment horizontal="center" wrapText="1"/>
    </xf>
    <xf numFmtId="2" fontId="22" fillId="137" borderId="14" xfId="0" applyNumberFormat="1" applyFont="1" applyFill="1" applyBorder="1" applyAlignment="1">
      <alignment horizontal="center" wrapText="1"/>
    </xf>
    <xf numFmtId="2" fontId="22" fillId="234" borderId="0" xfId="0" applyNumberFormat="1" applyFont="1" applyFill="1" applyBorder="1" applyAlignment="1">
      <alignment horizontal="center" wrapText="1"/>
    </xf>
    <xf numFmtId="2" fontId="22" fillId="48" borderId="14" xfId="0" applyNumberFormat="1" applyFont="1" applyFill="1" applyBorder="1" applyAlignment="1">
      <alignment horizontal="center" wrapText="1"/>
    </xf>
    <xf numFmtId="2" fontId="22" fillId="120" borderId="14" xfId="0" applyNumberFormat="1" applyFont="1" applyFill="1" applyBorder="1" applyAlignment="1">
      <alignment horizontal="center" wrapText="1"/>
    </xf>
    <xf numFmtId="2" fontId="22" fillId="202" borderId="13" xfId="0" applyNumberFormat="1" applyFont="1" applyFill="1" applyBorder="1" applyAlignment="1">
      <alignment horizontal="center" wrapText="1"/>
    </xf>
    <xf numFmtId="2" fontId="22" fillId="247" borderId="14" xfId="0" applyNumberFormat="1" applyFont="1" applyFill="1" applyBorder="1" applyAlignment="1">
      <alignment horizontal="center" wrapText="1"/>
    </xf>
    <xf numFmtId="2" fontId="22" fillId="296" borderId="13" xfId="0" applyNumberFormat="1" applyFont="1" applyFill="1" applyBorder="1" applyAlignment="1">
      <alignment horizontal="center" wrapText="1"/>
    </xf>
    <xf numFmtId="2" fontId="22" fillId="367" borderId="0" xfId="0" applyNumberFormat="1" applyFont="1" applyFill="1" applyBorder="1" applyAlignment="1">
      <alignment horizontal="center" wrapText="1"/>
    </xf>
    <xf numFmtId="2" fontId="22" fillId="270" borderId="13" xfId="0" applyNumberFormat="1" applyFont="1" applyFill="1" applyBorder="1" applyAlignment="1">
      <alignment horizontal="center" wrapText="1"/>
    </xf>
    <xf numFmtId="2" fontId="22" fillId="137" borderId="0" xfId="0" applyNumberFormat="1" applyFont="1" applyFill="1" applyBorder="1" applyAlignment="1">
      <alignment horizontal="center" wrapText="1"/>
    </xf>
    <xf numFmtId="2" fontId="22" fillId="57" borderId="14" xfId="0" applyNumberFormat="1" applyFont="1" applyFill="1" applyBorder="1" applyAlignment="1">
      <alignment horizontal="center" wrapText="1"/>
    </xf>
    <xf numFmtId="2" fontId="22" fillId="503" borderId="13" xfId="0" applyNumberFormat="1" applyFont="1" applyFill="1" applyBorder="1" applyAlignment="1">
      <alignment horizontal="center" wrapText="1"/>
    </xf>
    <xf numFmtId="2" fontId="22" fillId="109" borderId="13" xfId="0" applyNumberFormat="1" applyFont="1" applyFill="1" applyBorder="1" applyAlignment="1">
      <alignment horizontal="center" wrapText="1"/>
    </xf>
    <xf numFmtId="2" fontId="22" fillId="321" borderId="14" xfId="0" applyNumberFormat="1" applyFont="1" applyFill="1" applyBorder="1" applyAlignment="1">
      <alignment horizontal="center" wrapText="1"/>
    </xf>
    <xf numFmtId="2" fontId="22" fillId="504" borderId="0" xfId="0" applyNumberFormat="1" applyFont="1" applyFill="1" applyBorder="1" applyAlignment="1">
      <alignment horizontal="center" wrapText="1"/>
    </xf>
    <xf numFmtId="2" fontId="22" fillId="141" borderId="14" xfId="0" applyNumberFormat="1" applyFont="1" applyFill="1" applyBorder="1" applyAlignment="1">
      <alignment horizontal="center" wrapText="1"/>
    </xf>
    <xf numFmtId="2" fontId="22" fillId="133" borderId="13" xfId="0" applyNumberFormat="1" applyFont="1" applyFill="1" applyBorder="1" applyAlignment="1">
      <alignment horizontal="center" wrapText="1"/>
    </xf>
    <xf numFmtId="2" fontId="22" fillId="75" borderId="0" xfId="0" applyNumberFormat="1" applyFont="1" applyFill="1" applyBorder="1" applyAlignment="1">
      <alignment horizontal="center" wrapText="1"/>
    </xf>
    <xf numFmtId="2" fontId="22" fillId="104" borderId="14" xfId="0" applyNumberFormat="1" applyFont="1" applyFill="1" applyBorder="1" applyAlignment="1">
      <alignment horizontal="center" wrapText="1"/>
    </xf>
    <xf numFmtId="2" fontId="22" fillId="69" borderId="14" xfId="0" applyNumberFormat="1" applyFont="1" applyFill="1" applyBorder="1" applyAlignment="1">
      <alignment horizontal="center" wrapText="1"/>
    </xf>
    <xf numFmtId="2" fontId="22" fillId="221" borderId="0" xfId="0" applyNumberFormat="1" applyFont="1" applyFill="1" applyBorder="1" applyAlignment="1">
      <alignment horizontal="center" wrapText="1"/>
    </xf>
    <xf numFmtId="2" fontId="22" fillId="144" borderId="14" xfId="0" applyNumberFormat="1" applyFont="1" applyFill="1" applyBorder="1" applyAlignment="1">
      <alignment horizontal="center" wrapText="1"/>
    </xf>
    <xf numFmtId="2" fontId="22" fillId="361" borderId="0" xfId="0" applyNumberFormat="1" applyFont="1" applyFill="1" applyBorder="1" applyAlignment="1">
      <alignment horizontal="center" wrapText="1"/>
    </xf>
    <xf numFmtId="2" fontId="22" fillId="203" borderId="14" xfId="0" applyNumberFormat="1" applyFont="1" applyFill="1" applyBorder="1" applyAlignment="1">
      <alignment horizontal="center" wrapText="1"/>
    </xf>
    <xf numFmtId="2" fontId="22" fillId="218" borderId="14" xfId="0" applyNumberFormat="1" applyFont="1" applyFill="1" applyBorder="1" applyAlignment="1">
      <alignment horizontal="center" wrapText="1"/>
    </xf>
    <xf numFmtId="2" fontId="22" fillId="410" borderId="13" xfId="0" applyNumberFormat="1" applyFont="1" applyFill="1" applyBorder="1" applyAlignment="1">
      <alignment horizontal="center" wrapText="1"/>
    </xf>
    <xf numFmtId="2" fontId="22" fillId="240" borderId="14" xfId="0" applyNumberFormat="1" applyFont="1" applyFill="1" applyBorder="1" applyAlignment="1">
      <alignment horizontal="center" wrapText="1"/>
    </xf>
    <xf numFmtId="2" fontId="22" fillId="383" borderId="0" xfId="0" applyNumberFormat="1" applyFont="1" applyFill="1" applyBorder="1" applyAlignment="1">
      <alignment horizontal="center" wrapText="1"/>
    </xf>
    <xf numFmtId="2" fontId="22" fillId="106" borderId="14" xfId="0" applyNumberFormat="1" applyFont="1" applyFill="1" applyBorder="1" applyAlignment="1">
      <alignment horizontal="center" wrapText="1"/>
    </xf>
    <xf numFmtId="2" fontId="22" fillId="83" borderId="13" xfId="0" applyNumberFormat="1" applyFont="1" applyFill="1" applyBorder="1" applyAlignment="1">
      <alignment horizontal="center" wrapText="1"/>
    </xf>
    <xf numFmtId="2" fontId="22" fillId="282" borderId="14" xfId="0" applyNumberFormat="1" applyFont="1" applyFill="1" applyBorder="1" applyAlignment="1">
      <alignment horizontal="center" wrapText="1"/>
    </xf>
    <xf numFmtId="2" fontId="22" fillId="199" borderId="0" xfId="0" applyNumberFormat="1" applyFont="1" applyFill="1" applyBorder="1" applyAlignment="1">
      <alignment horizontal="center" wrapText="1"/>
    </xf>
    <xf numFmtId="2" fontId="22" fillId="509" borderId="13" xfId="0" applyNumberFormat="1" applyFont="1" applyFill="1" applyBorder="1" applyAlignment="1">
      <alignment horizontal="center" wrapText="1"/>
    </xf>
    <xf numFmtId="2" fontId="22" fillId="186" borderId="14" xfId="0" applyNumberFormat="1" applyFont="1" applyFill="1" applyBorder="1" applyAlignment="1">
      <alignment horizontal="center" wrapText="1"/>
    </xf>
    <xf numFmtId="2" fontId="22" fillId="318" borderId="14" xfId="0" applyNumberFormat="1" applyFont="1" applyFill="1" applyBorder="1" applyAlignment="1">
      <alignment horizontal="center" wrapText="1"/>
    </xf>
    <xf numFmtId="2" fontId="22" fillId="284" borderId="13" xfId="0" applyNumberFormat="1" applyFont="1" applyFill="1" applyBorder="1" applyAlignment="1">
      <alignment horizontal="center" wrapText="1"/>
    </xf>
    <xf numFmtId="2" fontId="22" fillId="381" borderId="14" xfId="0" applyNumberFormat="1" applyFont="1" applyFill="1" applyBorder="1" applyAlignment="1">
      <alignment horizontal="center" wrapText="1"/>
    </xf>
    <xf numFmtId="2" fontId="22" fillId="500" borderId="0" xfId="0" applyNumberFormat="1" applyFont="1" applyFill="1" applyBorder="1" applyAlignment="1">
      <alignment horizontal="center" wrapText="1"/>
    </xf>
    <xf numFmtId="2" fontId="22" fillId="360" borderId="14" xfId="0" applyNumberFormat="1" applyFont="1" applyFill="1" applyBorder="1" applyAlignment="1">
      <alignment horizontal="center" wrapText="1"/>
    </xf>
    <xf numFmtId="2" fontId="22" fillId="428" borderId="14" xfId="0" applyNumberFormat="1" applyFont="1" applyFill="1" applyBorder="1" applyAlignment="1">
      <alignment horizontal="center" wrapText="1"/>
    </xf>
    <xf numFmtId="2" fontId="22" fillId="373" borderId="0" xfId="0" applyNumberFormat="1" applyFont="1" applyFill="1" applyBorder="1" applyAlignment="1">
      <alignment horizontal="center" wrapText="1"/>
    </xf>
    <xf numFmtId="2" fontId="22" fillId="293" borderId="14" xfId="0" applyNumberFormat="1" applyFont="1" applyFill="1" applyBorder="1" applyAlignment="1">
      <alignment horizontal="center" wrapText="1"/>
    </xf>
    <xf numFmtId="2" fontId="22" fillId="481" borderId="0" xfId="0" applyNumberFormat="1" applyFont="1" applyFill="1" applyBorder="1" applyAlignment="1">
      <alignment horizontal="center" wrapText="1"/>
    </xf>
    <xf numFmtId="2" fontId="22" fillId="450" borderId="14" xfId="0" applyNumberFormat="1" applyFont="1" applyFill="1" applyBorder="1" applyAlignment="1">
      <alignment horizontal="center" wrapText="1"/>
    </xf>
    <xf numFmtId="2" fontId="22" fillId="501" borderId="0" xfId="0" applyNumberFormat="1" applyFont="1" applyFill="1" applyBorder="1" applyAlignment="1">
      <alignment horizontal="center" wrapText="1"/>
    </xf>
    <xf numFmtId="2" fontId="22" fillId="213" borderId="0" xfId="0" applyNumberFormat="1" applyFont="1" applyFill="1" applyBorder="1" applyAlignment="1">
      <alignment horizontal="center" wrapText="1"/>
    </xf>
    <xf numFmtId="2" fontId="22" fillId="503" borderId="0" xfId="0" applyNumberFormat="1" applyFont="1" applyFill="1" applyBorder="1" applyAlignment="1">
      <alignment horizontal="center" wrapText="1"/>
    </xf>
    <xf numFmtId="2" fontId="22" fillId="387" borderId="13" xfId="0" applyNumberFormat="1" applyFont="1" applyFill="1" applyBorder="1" applyAlignment="1">
      <alignment horizontal="center" wrapText="1"/>
    </xf>
    <xf numFmtId="2" fontId="22" fillId="48" borderId="0" xfId="0" applyNumberFormat="1" applyFont="1" applyFill="1" applyBorder="1" applyAlignment="1">
      <alignment horizontal="center" wrapText="1"/>
    </xf>
    <xf numFmtId="2" fontId="22" fillId="185" borderId="14" xfId="0" applyNumberFormat="1" applyFont="1" applyFill="1" applyBorder="1" applyAlignment="1">
      <alignment horizontal="center" wrapText="1"/>
    </xf>
    <xf numFmtId="2" fontId="22" fillId="214" borderId="14" xfId="0" applyNumberFormat="1" applyFont="1" applyFill="1" applyBorder="1" applyAlignment="1">
      <alignment horizontal="center" wrapText="1"/>
    </xf>
    <xf numFmtId="2" fontId="22" fillId="86" borderId="14" xfId="0" applyNumberFormat="1" applyFont="1" applyFill="1" applyBorder="1" applyAlignment="1">
      <alignment horizontal="center" wrapText="1"/>
    </xf>
    <xf numFmtId="2" fontId="22" fillId="348" borderId="14" xfId="0" applyNumberFormat="1" applyFont="1" applyFill="1" applyBorder="1" applyAlignment="1">
      <alignment horizontal="center" wrapText="1"/>
    </xf>
    <xf numFmtId="2" fontId="22" fillId="159" borderId="13" xfId="0" applyNumberFormat="1" applyFont="1" applyFill="1" applyBorder="1" applyAlignment="1">
      <alignment horizontal="center" wrapText="1"/>
    </xf>
    <xf numFmtId="2" fontId="22" fillId="382" borderId="13" xfId="0" applyNumberFormat="1" applyFont="1" applyFill="1" applyBorder="1" applyAlignment="1">
      <alignment horizontal="center" wrapText="1"/>
    </xf>
    <xf numFmtId="2" fontId="22" fillId="207" borderId="13" xfId="0" applyNumberFormat="1" applyFont="1" applyFill="1" applyBorder="1" applyAlignment="1">
      <alignment horizontal="center" wrapText="1"/>
    </xf>
    <xf numFmtId="2" fontId="22" fillId="153" borderId="13" xfId="0" applyNumberFormat="1" applyFont="1" applyFill="1" applyBorder="1" applyAlignment="1">
      <alignment horizontal="center" wrapText="1"/>
    </xf>
    <xf numFmtId="2" fontId="22" fillId="355" borderId="14" xfId="0" applyNumberFormat="1" applyFont="1" applyFill="1" applyBorder="1" applyAlignment="1">
      <alignment horizontal="center" wrapText="1"/>
    </xf>
    <xf numFmtId="2" fontId="22" fillId="79" borderId="14" xfId="0" applyNumberFormat="1" applyFont="1" applyFill="1" applyBorder="1" applyAlignment="1">
      <alignment horizontal="center" wrapText="1"/>
    </xf>
    <xf numFmtId="2" fontId="22" fillId="93" borderId="13" xfId="0" applyNumberFormat="1" applyFont="1" applyFill="1" applyBorder="1" applyAlignment="1">
      <alignment horizontal="center" wrapText="1"/>
    </xf>
    <xf numFmtId="2" fontId="22" fillId="271" borderId="14" xfId="0" applyNumberFormat="1" applyFont="1" applyFill="1" applyBorder="1" applyAlignment="1">
      <alignment horizontal="center" wrapText="1"/>
    </xf>
    <xf numFmtId="2" fontId="22" fillId="496" borderId="0" xfId="0" applyNumberFormat="1" applyFont="1" applyFill="1" applyBorder="1" applyAlignment="1">
      <alignment horizontal="center" wrapText="1"/>
    </xf>
    <xf numFmtId="2" fontId="22" fillId="497" borderId="13" xfId="0" applyNumberFormat="1" applyFont="1" applyFill="1" applyBorder="1" applyAlignment="1">
      <alignment horizontal="center" wrapText="1"/>
    </xf>
    <xf numFmtId="2" fontId="22" fillId="156" borderId="14" xfId="0" applyNumberFormat="1" applyFont="1" applyFill="1" applyBorder="1" applyAlignment="1">
      <alignment horizontal="center" wrapText="1"/>
    </xf>
    <xf numFmtId="2" fontId="22" fillId="453" borderId="14" xfId="0" applyNumberFormat="1" applyFont="1" applyFill="1" applyBorder="1" applyAlignment="1">
      <alignment horizontal="center" wrapText="1"/>
    </xf>
    <xf numFmtId="2" fontId="22" fillId="494" borderId="0" xfId="0" applyNumberFormat="1" applyFont="1" applyFill="1" applyBorder="1" applyAlignment="1">
      <alignment horizontal="center" wrapText="1"/>
    </xf>
    <xf numFmtId="2" fontId="22" fillId="127" borderId="0" xfId="0" applyNumberFormat="1" applyFont="1" applyFill="1" applyBorder="1" applyAlignment="1">
      <alignment horizontal="center" wrapText="1"/>
    </xf>
    <xf numFmtId="2" fontId="22" fillId="235" borderId="14" xfId="0" applyNumberFormat="1" applyFont="1" applyFill="1" applyBorder="1" applyAlignment="1">
      <alignment horizontal="center" wrapText="1"/>
    </xf>
    <xf numFmtId="2" fontId="22" fillId="161" borderId="13" xfId="0" applyNumberFormat="1" applyFont="1" applyFill="1" applyBorder="1" applyAlignment="1">
      <alignment horizontal="center" wrapText="1"/>
    </xf>
    <xf numFmtId="2" fontId="22" fillId="484" borderId="14" xfId="0" applyNumberFormat="1" applyFont="1" applyFill="1" applyBorder="1" applyAlignment="1">
      <alignment horizontal="center" wrapText="1"/>
    </xf>
    <xf numFmtId="2" fontId="22" fillId="436" borderId="13" xfId="0" applyNumberFormat="1" applyFont="1" applyFill="1" applyBorder="1" applyAlignment="1">
      <alignment horizontal="center" wrapText="1"/>
    </xf>
    <xf numFmtId="2" fontId="22" fillId="165" borderId="14" xfId="0" applyNumberFormat="1" applyFont="1" applyFill="1" applyBorder="1" applyAlignment="1">
      <alignment horizontal="center" wrapText="1"/>
    </xf>
    <xf numFmtId="2" fontId="22" fillId="208" borderId="14" xfId="0" applyNumberFormat="1" applyFont="1" applyFill="1" applyBorder="1" applyAlignment="1">
      <alignment horizontal="center" wrapText="1"/>
    </xf>
    <xf numFmtId="2" fontId="22" fillId="361" borderId="14" xfId="0" applyNumberFormat="1" applyFont="1" applyFill="1" applyBorder="1" applyAlignment="1">
      <alignment horizontal="center" wrapText="1"/>
    </xf>
    <xf numFmtId="2" fontId="22" fillId="43" borderId="14" xfId="0" applyNumberFormat="1" applyFont="1" applyFill="1" applyBorder="1" applyAlignment="1">
      <alignment horizontal="center" wrapText="1"/>
    </xf>
    <xf numFmtId="2" fontId="22" fillId="264" borderId="0" xfId="0" applyNumberFormat="1" applyFont="1" applyFill="1" applyBorder="1" applyAlignment="1">
      <alignment horizontal="center" wrapText="1"/>
    </xf>
    <xf numFmtId="2" fontId="22" fillId="104" borderId="13" xfId="0" applyNumberFormat="1" applyFont="1" applyFill="1" applyBorder="1" applyAlignment="1">
      <alignment horizontal="center" wrapText="1"/>
    </xf>
    <xf numFmtId="2" fontId="22" fillId="494" borderId="14" xfId="0" applyNumberFormat="1" applyFont="1" applyFill="1" applyBorder="1" applyAlignment="1">
      <alignment horizontal="center" wrapText="1"/>
    </xf>
    <xf numFmtId="2" fontId="22" fillId="438" borderId="0" xfId="0" applyNumberFormat="1" applyFont="1" applyFill="1" applyBorder="1" applyAlignment="1">
      <alignment horizontal="center" wrapText="1"/>
    </xf>
    <xf numFmtId="2" fontId="22" fillId="432" borderId="0" xfId="0" applyNumberFormat="1" applyFont="1" applyFill="1" applyBorder="1" applyAlignment="1">
      <alignment horizontal="center" wrapText="1"/>
    </xf>
    <xf numFmtId="2" fontId="22" fillId="353" borderId="0" xfId="0" applyNumberFormat="1" applyFont="1" applyFill="1" applyBorder="1" applyAlignment="1">
      <alignment horizontal="center" wrapText="1"/>
    </xf>
    <xf numFmtId="2" fontId="22" fillId="76" borderId="13" xfId="0" applyNumberFormat="1" applyFont="1" applyFill="1" applyBorder="1" applyAlignment="1">
      <alignment horizontal="center" wrapText="1"/>
    </xf>
    <xf numFmtId="2" fontId="22" fillId="142" borderId="14" xfId="0" applyNumberFormat="1" applyFont="1" applyFill="1" applyBorder="1" applyAlignment="1">
      <alignment horizontal="center" wrapText="1"/>
    </xf>
    <xf numFmtId="2" fontId="22" fillId="151" borderId="0" xfId="0" applyNumberFormat="1" applyFont="1" applyFill="1" applyBorder="1" applyAlignment="1">
      <alignment horizontal="center" wrapText="1"/>
    </xf>
    <xf numFmtId="2" fontId="22" fillId="198" borderId="13" xfId="0" applyNumberFormat="1" applyFont="1" applyFill="1" applyBorder="1" applyAlignment="1">
      <alignment horizontal="center" wrapText="1"/>
    </xf>
    <xf numFmtId="2" fontId="22" fillId="162" borderId="0" xfId="0" applyNumberFormat="1" applyFont="1" applyFill="1" applyBorder="1" applyAlignment="1">
      <alignment horizontal="center" wrapText="1"/>
    </xf>
    <xf numFmtId="2" fontId="22" fillId="516" borderId="14" xfId="0" applyNumberFormat="1" applyFont="1" applyFill="1" applyBorder="1" applyAlignment="1">
      <alignment horizontal="center" wrapText="1"/>
    </xf>
    <xf numFmtId="2" fontId="22" fillId="42" borderId="13" xfId="0" applyNumberFormat="1" applyFont="1" applyFill="1" applyBorder="1" applyAlignment="1">
      <alignment horizontal="center" wrapText="1"/>
    </xf>
    <xf numFmtId="2" fontId="22" fillId="429" borderId="14" xfId="0" applyNumberFormat="1" applyFont="1" applyFill="1" applyBorder="1" applyAlignment="1">
      <alignment horizontal="center" wrapText="1"/>
    </xf>
    <xf numFmtId="2" fontId="22" fillId="38" borderId="13" xfId="0" applyNumberFormat="1" applyFont="1" applyFill="1" applyBorder="1" applyAlignment="1">
      <alignment horizontal="center" wrapText="1"/>
    </xf>
    <xf numFmtId="2" fontId="22" fillId="225" borderId="0" xfId="0" applyNumberFormat="1" applyFont="1" applyFill="1" applyBorder="1" applyAlignment="1">
      <alignment horizontal="center" wrapText="1"/>
    </xf>
    <xf numFmtId="2" fontId="22" fillId="381" borderId="0" xfId="0" applyNumberFormat="1" applyFont="1" applyFill="1" applyBorder="1" applyAlignment="1">
      <alignment horizontal="center" wrapText="1"/>
    </xf>
    <xf numFmtId="2" fontId="22" fillId="151" borderId="13" xfId="0" applyNumberFormat="1" applyFont="1" applyFill="1" applyBorder="1" applyAlignment="1">
      <alignment horizontal="center" wrapText="1"/>
    </xf>
    <xf numFmtId="2" fontId="22" fillId="237" borderId="13" xfId="0" applyNumberFormat="1" applyFont="1" applyFill="1" applyBorder="1" applyAlignment="1">
      <alignment horizontal="center" wrapText="1"/>
    </xf>
    <xf numFmtId="2" fontId="22" fillId="496" borderId="14" xfId="0" applyNumberFormat="1" applyFont="1" applyFill="1" applyBorder="1" applyAlignment="1">
      <alignment horizontal="center" wrapText="1"/>
    </xf>
    <xf numFmtId="2" fontId="22" fillId="442" borderId="0" xfId="0" applyNumberFormat="1" applyFont="1" applyFill="1" applyBorder="1" applyAlignment="1">
      <alignment horizontal="center" wrapText="1"/>
    </xf>
    <xf numFmtId="2" fontId="22" fillId="249" borderId="0" xfId="0" applyNumberFormat="1" applyFont="1" applyFill="1" applyBorder="1" applyAlignment="1">
      <alignment horizontal="center" wrapText="1"/>
    </xf>
    <xf numFmtId="2" fontId="22" fillId="138" borderId="13" xfId="0" applyNumberFormat="1" applyFont="1" applyFill="1" applyBorder="1" applyAlignment="1">
      <alignment horizontal="center" wrapText="1"/>
    </xf>
    <xf numFmtId="2" fontId="22" fillId="111" borderId="13" xfId="0" applyNumberFormat="1" applyFont="1" applyFill="1" applyBorder="1" applyAlignment="1">
      <alignment horizontal="center" wrapText="1"/>
    </xf>
    <xf numFmtId="2" fontId="22" fillId="441" borderId="0" xfId="0" applyNumberFormat="1" applyFont="1" applyFill="1" applyBorder="1" applyAlignment="1">
      <alignment horizontal="center" wrapText="1"/>
    </xf>
    <xf numFmtId="2" fontId="22" fillId="100" borderId="0" xfId="0" applyNumberFormat="1" applyFont="1" applyFill="1" applyBorder="1" applyAlignment="1">
      <alignment horizontal="center" wrapText="1"/>
    </xf>
    <xf numFmtId="2" fontId="22" fillId="181" borderId="13" xfId="0" applyNumberFormat="1" applyFont="1" applyFill="1" applyBorder="1" applyAlignment="1">
      <alignment horizontal="center" wrapText="1"/>
    </xf>
    <xf numFmtId="2" fontId="22" fillId="487" borderId="0" xfId="0" applyNumberFormat="1" applyFont="1" applyFill="1" applyBorder="1" applyAlignment="1">
      <alignment horizontal="center" wrapText="1"/>
    </xf>
    <xf numFmtId="2" fontId="22" fillId="308" borderId="14" xfId="0" applyNumberFormat="1" applyFont="1" applyFill="1" applyBorder="1" applyAlignment="1">
      <alignment horizontal="center" wrapText="1"/>
    </xf>
    <xf numFmtId="2" fontId="22" fillId="91" borderId="13" xfId="0" applyNumberFormat="1" applyFont="1" applyFill="1" applyBorder="1" applyAlignment="1">
      <alignment horizontal="center" wrapText="1"/>
    </xf>
    <xf numFmtId="2" fontId="22" fillId="146" borderId="13" xfId="0" applyNumberFormat="1" applyFont="1" applyFill="1" applyBorder="1" applyAlignment="1">
      <alignment horizontal="center" wrapText="1"/>
    </xf>
    <xf numFmtId="2" fontId="22" fillId="291" borderId="14" xfId="0" applyNumberFormat="1" applyFont="1" applyFill="1" applyBorder="1" applyAlignment="1">
      <alignment horizontal="center" wrapText="1"/>
    </xf>
    <xf numFmtId="2" fontId="22" fillId="269" borderId="13" xfId="0" applyNumberFormat="1" applyFont="1" applyFill="1" applyBorder="1" applyAlignment="1">
      <alignment horizontal="center" wrapText="1"/>
    </xf>
    <xf numFmtId="2" fontId="22" fillId="437" borderId="14" xfId="0" applyNumberFormat="1" applyFont="1" applyFill="1" applyBorder="1" applyAlignment="1">
      <alignment horizontal="center" wrapText="1"/>
    </xf>
    <xf numFmtId="2" fontId="22" fillId="288" borderId="13" xfId="0" applyNumberFormat="1" applyFont="1" applyFill="1" applyBorder="1" applyAlignment="1">
      <alignment horizontal="center" wrapText="1"/>
    </xf>
    <xf numFmtId="2" fontId="22" fillId="341" borderId="14" xfId="0" applyNumberFormat="1" applyFont="1" applyFill="1" applyBorder="1" applyAlignment="1">
      <alignment horizontal="center" wrapText="1"/>
    </xf>
    <xf numFmtId="2" fontId="22" fillId="358" borderId="0" xfId="0" applyNumberFormat="1" applyFont="1" applyFill="1" applyBorder="1" applyAlignment="1">
      <alignment horizontal="center" wrapText="1"/>
    </xf>
    <xf numFmtId="2" fontId="22" fillId="368" borderId="14" xfId="0" applyNumberFormat="1" applyFont="1" applyFill="1" applyBorder="1" applyAlignment="1">
      <alignment horizontal="center" wrapText="1"/>
    </xf>
    <xf numFmtId="2" fontId="22" fillId="405" borderId="0" xfId="0" applyNumberFormat="1" applyFont="1" applyFill="1" applyBorder="1" applyAlignment="1">
      <alignment horizontal="center" wrapText="1"/>
    </xf>
    <xf numFmtId="2" fontId="22" fillId="276" borderId="13" xfId="0" applyNumberFormat="1" applyFont="1" applyFill="1" applyBorder="1" applyAlignment="1">
      <alignment horizontal="center" wrapText="1"/>
    </xf>
    <xf numFmtId="2" fontId="22" fillId="269" borderId="0" xfId="0" applyNumberFormat="1" applyFont="1" applyFill="1" applyBorder="1" applyAlignment="1">
      <alignment horizontal="center" wrapText="1"/>
    </xf>
    <xf numFmtId="2" fontId="22" fillId="87" borderId="14" xfId="0" applyNumberFormat="1" applyFont="1" applyFill="1" applyBorder="1" applyAlignment="1">
      <alignment horizontal="center" wrapText="1"/>
    </xf>
    <xf numFmtId="2" fontId="22" fillId="228" borderId="0" xfId="0" applyNumberFormat="1" applyFont="1" applyFill="1" applyBorder="1" applyAlignment="1">
      <alignment horizontal="center" wrapText="1"/>
    </xf>
    <xf numFmtId="2" fontId="22" fillId="289" borderId="0" xfId="0" applyNumberFormat="1" applyFont="1" applyFill="1" applyBorder="1" applyAlignment="1">
      <alignment horizontal="center" wrapText="1"/>
    </xf>
    <xf numFmtId="2" fontId="22" fillId="268" borderId="13" xfId="0" applyNumberFormat="1" applyFont="1" applyFill="1" applyBorder="1" applyAlignment="1">
      <alignment horizontal="center" wrapText="1"/>
    </xf>
    <xf numFmtId="2" fontId="22" fillId="278" borderId="0" xfId="0" applyNumberFormat="1" applyFont="1" applyFill="1" applyBorder="1" applyAlignment="1">
      <alignment horizontal="center" wrapText="1"/>
    </xf>
    <xf numFmtId="2" fontId="22" fillId="304" borderId="0" xfId="0" applyNumberFormat="1" applyFont="1" applyFill="1" applyBorder="1" applyAlignment="1">
      <alignment horizontal="center" wrapText="1"/>
    </xf>
    <xf numFmtId="2" fontId="22" fillId="80" borderId="13" xfId="0" applyNumberFormat="1" applyFont="1" applyFill="1" applyBorder="1" applyAlignment="1">
      <alignment horizontal="center" wrapText="1"/>
    </xf>
    <xf numFmtId="2" fontId="22" fillId="192" borderId="14" xfId="0" applyNumberFormat="1" applyFont="1" applyFill="1" applyBorder="1" applyAlignment="1">
      <alignment horizontal="center" wrapText="1"/>
    </xf>
    <xf numFmtId="2" fontId="22" fillId="196" borderId="0" xfId="0" applyNumberFormat="1" applyFont="1" applyFill="1" applyBorder="1" applyAlignment="1">
      <alignment horizontal="center" wrapText="1"/>
    </xf>
    <xf numFmtId="2" fontId="22" fillId="335" borderId="14" xfId="0" applyNumberFormat="1" applyFont="1" applyFill="1" applyBorder="1" applyAlignment="1">
      <alignment horizontal="center" wrapText="1"/>
    </xf>
    <xf numFmtId="2" fontId="22" fillId="237" borderId="0" xfId="0" applyNumberFormat="1" applyFont="1" applyFill="1" applyBorder="1" applyAlignment="1">
      <alignment horizontal="center" wrapText="1"/>
    </xf>
    <xf numFmtId="2" fontId="22" fillId="253" borderId="13" xfId="0" applyNumberFormat="1" applyFont="1" applyFill="1" applyBorder="1" applyAlignment="1">
      <alignment horizontal="center" wrapText="1"/>
    </xf>
    <xf numFmtId="2" fontId="22" fillId="98" borderId="14" xfId="0" applyNumberFormat="1" applyFont="1" applyFill="1" applyBorder="1" applyAlignment="1">
      <alignment horizontal="center" wrapText="1"/>
    </xf>
    <xf numFmtId="2" fontId="22" fillId="254" borderId="14" xfId="0" applyNumberFormat="1" applyFont="1" applyFill="1" applyBorder="1" applyAlignment="1">
      <alignment horizontal="center" wrapText="1"/>
    </xf>
    <xf numFmtId="2" fontId="22" fillId="197" borderId="0" xfId="0" applyNumberFormat="1" applyFont="1" applyFill="1" applyBorder="1" applyAlignment="1">
      <alignment horizontal="center" wrapText="1"/>
    </xf>
    <xf numFmtId="2" fontId="22" fillId="231" borderId="0" xfId="0" applyNumberFormat="1" applyFont="1" applyFill="1" applyBorder="1" applyAlignment="1">
      <alignment horizontal="center" wrapText="1"/>
    </xf>
    <xf numFmtId="2" fontId="22" fillId="231" borderId="13" xfId="0" applyNumberFormat="1" applyFont="1" applyFill="1" applyBorder="1" applyAlignment="1">
      <alignment horizontal="center" wrapText="1"/>
    </xf>
    <xf numFmtId="2" fontId="22" fillId="92" borderId="14" xfId="0" applyNumberFormat="1" applyFont="1" applyFill="1" applyBorder="1" applyAlignment="1">
      <alignment horizontal="center" wrapText="1"/>
    </xf>
    <xf numFmtId="2" fontId="22" fillId="211" borderId="0" xfId="0" applyNumberFormat="1" applyFont="1" applyFill="1" applyBorder="1" applyAlignment="1">
      <alignment horizontal="center" wrapText="1"/>
    </xf>
    <xf numFmtId="2" fontId="22" fillId="306" borderId="13" xfId="0" applyNumberFormat="1" applyFont="1" applyFill="1" applyBorder="1" applyAlignment="1">
      <alignment horizontal="center" wrapText="1"/>
    </xf>
    <xf numFmtId="2" fontId="22" fillId="252" borderId="0" xfId="0" applyNumberFormat="1" applyFont="1" applyFill="1" applyBorder="1" applyAlignment="1">
      <alignment horizontal="center" wrapText="1"/>
    </xf>
    <xf numFmtId="2" fontId="22" fillId="68" borderId="0" xfId="0" applyNumberFormat="1" applyFont="1" applyFill="1" applyBorder="1" applyAlignment="1">
      <alignment horizontal="center" wrapText="1"/>
    </xf>
    <xf numFmtId="2" fontId="22" fillId="114" borderId="13" xfId="0" applyNumberFormat="1" applyFont="1" applyFill="1" applyBorder="1" applyAlignment="1">
      <alignment horizontal="center" wrapText="1"/>
    </xf>
    <xf numFmtId="2" fontId="22" fillId="215" borderId="13" xfId="0" applyNumberFormat="1" applyFont="1" applyFill="1" applyBorder="1" applyAlignment="1">
      <alignment horizontal="center" wrapText="1"/>
    </xf>
    <xf numFmtId="2" fontId="22" fillId="210" borderId="0" xfId="0" applyNumberFormat="1" applyFont="1" applyFill="1" applyBorder="1" applyAlignment="1">
      <alignment horizontal="center" wrapText="1"/>
    </xf>
    <xf numFmtId="2" fontId="22" fillId="49" borderId="13" xfId="0" applyNumberFormat="1" applyFont="1" applyFill="1" applyBorder="1" applyAlignment="1">
      <alignment horizontal="center" wrapText="1"/>
    </xf>
    <xf numFmtId="2" fontId="22" fillId="77" borderId="14" xfId="0" applyNumberFormat="1" applyFont="1" applyFill="1" applyBorder="1" applyAlignment="1">
      <alignment horizontal="center" wrapText="1"/>
    </xf>
    <xf numFmtId="2" fontId="22" fillId="289" borderId="14" xfId="0" applyNumberFormat="1" applyFont="1" applyFill="1" applyBorder="1" applyAlignment="1">
      <alignment horizontal="center" wrapText="1"/>
    </xf>
    <xf numFmtId="2" fontId="22" fillId="289" borderId="13" xfId="0" applyNumberFormat="1" applyFont="1" applyFill="1" applyBorder="1" applyAlignment="1">
      <alignment horizontal="center" wrapText="1"/>
    </xf>
    <xf numFmtId="2" fontId="22" fillId="99" borderId="14" xfId="0" applyNumberFormat="1" applyFont="1" applyFill="1" applyBorder="1" applyAlignment="1">
      <alignment horizontal="center" wrapText="1"/>
    </xf>
    <xf numFmtId="2" fontId="22" fillId="88" borderId="13" xfId="0" applyNumberFormat="1" applyFont="1" applyFill="1" applyBorder="1" applyAlignment="1">
      <alignment horizontal="center" wrapText="1"/>
    </xf>
    <xf numFmtId="2" fontId="22" fillId="103" borderId="14" xfId="0" applyNumberFormat="1" applyFont="1" applyFill="1" applyBorder="1" applyAlignment="1">
      <alignment horizontal="center" wrapText="1"/>
    </xf>
    <xf numFmtId="2" fontId="22" fillId="95" borderId="13" xfId="0" applyNumberFormat="1" applyFont="1" applyFill="1" applyBorder="1" applyAlignment="1">
      <alignment horizontal="center" wrapText="1"/>
    </xf>
    <xf numFmtId="2" fontId="22" fillId="77" borderId="13" xfId="0" applyNumberFormat="1" applyFont="1" applyFill="1" applyBorder="1" applyAlignment="1">
      <alignment horizontal="center" wrapText="1"/>
    </xf>
    <xf numFmtId="2" fontId="22" fillId="120" borderId="13" xfId="0" applyNumberFormat="1" applyFont="1" applyFill="1" applyBorder="1" applyAlignment="1">
      <alignment horizontal="center" wrapText="1"/>
    </xf>
    <xf numFmtId="2" fontId="22" fillId="237" borderId="14" xfId="0" applyNumberFormat="1" applyFont="1" applyFill="1" applyBorder="1" applyAlignment="1">
      <alignment horizontal="center" wrapText="1"/>
    </xf>
    <xf numFmtId="2" fontId="22" fillId="56" borderId="13" xfId="0" applyNumberFormat="1" applyFont="1" applyFill="1" applyBorder="1" applyAlignment="1">
      <alignment horizontal="center" wrapText="1"/>
    </xf>
    <xf numFmtId="2" fontId="22" fillId="321" borderId="13" xfId="0" applyNumberFormat="1" applyFont="1" applyFill="1" applyBorder="1" applyAlignment="1">
      <alignment horizontal="center" wrapText="1"/>
    </xf>
    <xf numFmtId="2" fontId="22" fillId="73" borderId="14" xfId="0" applyNumberFormat="1" applyFont="1" applyFill="1" applyBorder="1" applyAlignment="1">
      <alignment horizontal="center" wrapText="1"/>
    </xf>
    <xf numFmtId="2" fontId="22" fillId="69" borderId="13" xfId="0" applyNumberFormat="1" applyFont="1" applyFill="1" applyBorder="1" applyAlignment="1">
      <alignment horizontal="center" wrapText="1"/>
    </xf>
    <xf numFmtId="2" fontId="22" fillId="328" borderId="14" xfId="0" applyNumberFormat="1" applyFont="1" applyFill="1" applyBorder="1" applyAlignment="1">
      <alignment horizontal="center" wrapText="1"/>
    </xf>
    <xf numFmtId="2" fontId="22" fillId="158" borderId="13" xfId="0" applyNumberFormat="1" applyFont="1" applyFill="1" applyBorder="1" applyAlignment="1">
      <alignment horizontal="center" wrapText="1"/>
    </xf>
    <xf numFmtId="2" fontId="22" fillId="173" borderId="0" xfId="0" applyNumberFormat="1" applyFont="1" applyFill="1" applyBorder="1" applyAlignment="1">
      <alignment horizontal="center" wrapText="1"/>
    </xf>
    <xf numFmtId="2" fontId="22" fillId="249" borderId="13" xfId="0" applyNumberFormat="1" applyFont="1" applyFill="1" applyBorder="1" applyAlignment="1">
      <alignment horizontal="center" wrapText="1"/>
    </xf>
    <xf numFmtId="2" fontId="22" fillId="170" borderId="14" xfId="0" applyNumberFormat="1" applyFont="1" applyFill="1" applyBorder="1" applyAlignment="1">
      <alignment horizontal="center" wrapText="1"/>
    </xf>
    <xf numFmtId="2" fontId="22" fillId="49" borderId="0" xfId="0" applyNumberFormat="1" applyFont="1" applyFill="1" applyBorder="1" applyAlignment="1">
      <alignment horizontal="center" wrapText="1"/>
    </xf>
    <xf numFmtId="2" fontId="22" fillId="197" borderId="13" xfId="0" applyNumberFormat="1" applyFont="1" applyFill="1" applyBorder="1" applyAlignment="1">
      <alignment horizontal="center" wrapText="1"/>
    </xf>
    <xf numFmtId="2" fontId="22" fillId="252" borderId="13" xfId="0" applyNumberFormat="1" applyFont="1" applyFill="1" applyBorder="1" applyAlignment="1">
      <alignment horizontal="center" wrapText="1"/>
    </xf>
    <xf numFmtId="2" fontId="22" fillId="95" borderId="14" xfId="0" applyNumberFormat="1" applyFont="1" applyFill="1" applyBorder="1" applyAlignment="1">
      <alignment horizontal="center" wrapText="1"/>
    </xf>
    <xf numFmtId="2" fontId="22" fillId="47" borderId="14" xfId="0" applyNumberFormat="1" applyFont="1" applyFill="1" applyBorder="1" applyAlignment="1">
      <alignment horizontal="center" wrapText="1"/>
    </xf>
    <xf numFmtId="2" fontId="22" fillId="61" borderId="13" xfId="0" applyNumberFormat="1" applyFont="1" applyFill="1" applyBorder="1" applyAlignment="1">
      <alignment horizontal="center" wrapText="1"/>
    </xf>
    <xf numFmtId="2" fontId="22" fillId="225" borderId="14" xfId="0" applyNumberFormat="1" applyFont="1" applyFill="1" applyBorder="1" applyAlignment="1">
      <alignment horizontal="center" wrapText="1"/>
    </xf>
    <xf numFmtId="2" fontId="22" fillId="90" borderId="13" xfId="0" applyNumberFormat="1" applyFont="1" applyFill="1" applyBorder="1" applyAlignment="1">
      <alignment horizontal="center" wrapText="1"/>
    </xf>
    <xf numFmtId="2" fontId="22" fillId="486" borderId="13" xfId="0" applyNumberFormat="1" applyFont="1" applyFill="1" applyBorder="1" applyAlignment="1">
      <alignment horizontal="center" wrapText="1"/>
    </xf>
    <xf numFmtId="2" fontId="22" fillId="125" borderId="13" xfId="0" applyNumberFormat="1" applyFont="1" applyFill="1" applyBorder="1" applyAlignment="1">
      <alignment horizontal="center" wrapText="1"/>
    </xf>
    <xf numFmtId="2" fontId="22" fillId="163" borderId="14" xfId="0" applyNumberFormat="1" applyFont="1" applyFill="1" applyBorder="1" applyAlignment="1">
      <alignment horizontal="center" wrapText="1"/>
    </xf>
    <xf numFmtId="2" fontId="22" fillId="100" borderId="13" xfId="0" applyNumberFormat="1" applyFont="1" applyFill="1" applyBorder="1" applyAlignment="1">
      <alignment horizontal="center" wrapText="1"/>
    </xf>
    <xf numFmtId="2" fontId="22" fillId="328" borderId="13" xfId="0" applyNumberFormat="1" applyFont="1" applyFill="1" applyBorder="1" applyAlignment="1">
      <alignment horizontal="center" wrapText="1"/>
    </xf>
    <xf numFmtId="2" fontId="22" fillId="278" borderId="14" xfId="0" applyNumberFormat="1" applyFont="1" applyFill="1" applyBorder="1" applyAlignment="1">
      <alignment horizontal="center" wrapText="1"/>
    </xf>
    <xf numFmtId="2" fontId="22" fillId="222" borderId="13" xfId="0" applyNumberFormat="1" applyFont="1" applyFill="1" applyBorder="1" applyAlignment="1">
      <alignment horizontal="center" wrapText="1"/>
    </xf>
    <xf numFmtId="2" fontId="22" fillId="263" borderId="14" xfId="0" applyNumberFormat="1" applyFont="1" applyFill="1" applyBorder="1" applyAlignment="1">
      <alignment horizontal="center" wrapText="1"/>
    </xf>
    <xf numFmtId="2" fontId="22" fillId="214" borderId="13" xfId="0" applyNumberFormat="1" applyFont="1" applyFill="1" applyBorder="1" applyAlignment="1">
      <alignment horizontal="center" wrapText="1"/>
    </xf>
    <xf numFmtId="2" fontId="22" fillId="171" borderId="13" xfId="0" applyNumberFormat="1" applyFont="1" applyFill="1" applyBorder="1" applyAlignment="1">
      <alignment horizontal="center" wrapText="1"/>
    </xf>
    <xf numFmtId="2" fontId="22" fillId="137" borderId="13" xfId="0" applyNumberFormat="1" applyFont="1" applyFill="1" applyBorder="1" applyAlignment="1">
      <alignment horizontal="center" wrapText="1"/>
    </xf>
    <xf numFmtId="2" fontId="22" fillId="285" borderId="14" xfId="0" applyNumberFormat="1" applyFont="1" applyFill="1" applyBorder="1" applyAlignment="1">
      <alignment horizontal="center" wrapText="1"/>
    </xf>
    <xf numFmtId="2" fontId="22" fillId="485" borderId="14" xfId="0" applyNumberFormat="1" applyFont="1" applyFill="1" applyBorder="1" applyAlignment="1">
      <alignment horizontal="center" wrapText="1"/>
    </xf>
    <xf numFmtId="2" fontId="22" fillId="208" borderId="13" xfId="0" applyNumberFormat="1" applyFont="1" applyFill="1" applyBorder="1" applyAlignment="1">
      <alignment horizontal="center" wrapText="1"/>
    </xf>
    <xf numFmtId="2" fontId="22" fillId="263" borderId="13" xfId="0" applyNumberFormat="1" applyFont="1" applyFill="1" applyBorder="1" applyAlignment="1">
      <alignment horizontal="center" wrapText="1"/>
    </xf>
    <xf numFmtId="2" fontId="22" fillId="149" borderId="14" xfId="0" applyNumberFormat="1" applyFont="1" applyFill="1" applyBorder="1" applyAlignment="1">
      <alignment horizontal="center" wrapText="1"/>
    </xf>
    <xf numFmtId="2" fontId="22" fillId="247" borderId="13" xfId="0" applyNumberFormat="1" applyFont="1" applyFill="1" applyBorder="1" applyAlignment="1">
      <alignment horizontal="center" wrapText="1"/>
    </xf>
    <xf numFmtId="2" fontId="22" fillId="46" borderId="13" xfId="0" applyNumberFormat="1" applyFont="1" applyFill="1" applyBorder="1" applyAlignment="1">
      <alignment horizontal="center" wrapText="1"/>
    </xf>
    <xf numFmtId="2" fontId="22" fillId="105" borderId="14" xfId="0" applyNumberFormat="1" applyFont="1" applyFill="1" applyBorder="1" applyAlignment="1">
      <alignment horizontal="center" wrapText="1"/>
    </xf>
    <xf numFmtId="2" fontId="22" fillId="323" borderId="14" xfId="0" applyNumberFormat="1" applyFont="1" applyFill="1" applyBorder="1" applyAlignment="1">
      <alignment horizontal="center" wrapText="1"/>
    </xf>
    <xf numFmtId="2" fontId="22" fillId="62" borderId="14" xfId="0" applyNumberFormat="1" applyFont="1" applyFill="1" applyBorder="1" applyAlignment="1">
      <alignment horizontal="center" wrapText="1"/>
    </xf>
    <xf numFmtId="2" fontId="22" fillId="90" borderId="14" xfId="0" applyNumberFormat="1" applyFont="1" applyFill="1" applyBorder="1" applyAlignment="1">
      <alignment horizontal="center" wrapText="1"/>
    </xf>
    <xf numFmtId="2" fontId="22" fillId="176" borderId="13" xfId="0" applyNumberFormat="1" applyFont="1" applyFill="1" applyBorder="1" applyAlignment="1">
      <alignment horizontal="center" wrapText="1"/>
    </xf>
    <xf numFmtId="2" fontId="22" fillId="337" borderId="13" xfId="0" applyNumberFormat="1" applyFont="1" applyFill="1" applyBorder="1" applyAlignment="1">
      <alignment horizontal="center" wrapText="1"/>
    </xf>
    <xf numFmtId="2" fontId="22" fillId="234" borderId="14" xfId="0" applyNumberFormat="1" applyFont="1" applyFill="1" applyBorder="1" applyAlignment="1">
      <alignment horizontal="center" wrapText="1"/>
    </xf>
    <xf numFmtId="2" fontId="22" fillId="170" borderId="13" xfId="0" applyNumberFormat="1" applyFont="1" applyFill="1" applyBorder="1" applyAlignment="1">
      <alignment horizontal="center" wrapText="1"/>
    </xf>
    <xf numFmtId="2" fontId="22" fillId="319" borderId="0" xfId="0" applyNumberFormat="1" applyFont="1" applyFill="1" applyBorder="1" applyAlignment="1">
      <alignment horizontal="center" wrapText="1"/>
    </xf>
    <xf numFmtId="2" fontId="22" fillId="225" borderId="13" xfId="0" applyNumberFormat="1" applyFont="1" applyFill="1" applyBorder="1" applyAlignment="1">
      <alignment horizontal="center" wrapText="1"/>
    </xf>
    <xf numFmtId="2" fontId="22" fillId="299" borderId="14" xfId="0" applyNumberFormat="1" applyFont="1" applyFill="1" applyBorder="1" applyAlignment="1">
      <alignment horizontal="center" wrapText="1"/>
    </xf>
    <xf numFmtId="2" fontId="22" fillId="163" borderId="13" xfId="0" applyNumberFormat="1" applyFont="1" applyFill="1" applyBorder="1" applyAlignment="1">
      <alignment horizontal="center" wrapText="1"/>
    </xf>
    <xf numFmtId="2" fontId="22" fillId="369" borderId="13" xfId="0" applyNumberFormat="1" applyFont="1" applyFill="1" applyBorder="1" applyAlignment="1">
      <alignment horizontal="center" wrapText="1"/>
    </xf>
    <xf numFmtId="2" fontId="22" fillId="424" borderId="14" xfId="0" applyNumberFormat="1" applyFont="1" applyFill="1" applyBorder="1" applyAlignment="1">
      <alignment horizontal="center" wrapText="1"/>
    </xf>
    <xf numFmtId="2" fontId="22" fillId="164" borderId="13" xfId="0" applyNumberFormat="1" applyFont="1" applyFill="1" applyBorder="1" applyAlignment="1">
      <alignment horizontal="center" wrapText="1"/>
    </xf>
    <xf numFmtId="2" fontId="22" fillId="157" borderId="13" xfId="0" applyNumberFormat="1" applyFont="1" applyFill="1" applyBorder="1" applyAlignment="1">
      <alignment horizontal="center" wrapText="1"/>
    </xf>
    <xf numFmtId="2" fontId="22" fillId="352" borderId="14" xfId="0" applyNumberFormat="1" applyFont="1" applyFill="1" applyBorder="1" applyAlignment="1">
      <alignment horizontal="center" wrapText="1"/>
    </xf>
    <xf numFmtId="2" fontId="22" fillId="436" borderId="14" xfId="0" applyNumberFormat="1" applyFont="1" applyFill="1" applyBorder="1" applyAlignment="1">
      <alignment horizontal="center" wrapText="1"/>
    </xf>
    <xf numFmtId="2" fontId="22" fillId="430" borderId="0" xfId="0" applyNumberFormat="1" applyFont="1" applyFill="1" applyBorder="1" applyAlignment="1">
      <alignment horizontal="center" wrapText="1"/>
    </xf>
    <xf numFmtId="2" fontId="22" fillId="241" borderId="0" xfId="0" applyNumberFormat="1" applyFont="1" applyFill="1" applyBorder="1" applyAlignment="1">
      <alignment horizontal="center" wrapText="1"/>
    </xf>
    <xf numFmtId="2" fontId="22" fillId="330" borderId="14" xfId="0" applyNumberFormat="1" applyFont="1" applyFill="1" applyBorder="1" applyAlignment="1">
      <alignment horizontal="center" wrapText="1"/>
    </xf>
    <xf numFmtId="2" fontId="22" fillId="522" borderId="0" xfId="0" applyNumberFormat="1" applyFont="1" applyFill="1" applyBorder="1" applyAlignment="1">
      <alignment horizontal="center" wrapText="1"/>
    </xf>
    <xf numFmtId="2" fontId="22" fillId="315" borderId="13" xfId="0" applyNumberFormat="1" applyFont="1" applyFill="1" applyBorder="1" applyAlignment="1">
      <alignment horizontal="center" wrapText="1"/>
    </xf>
    <xf numFmtId="2" fontId="22" fillId="451" borderId="14" xfId="0" applyNumberFormat="1" applyFont="1" applyFill="1" applyBorder="1" applyAlignment="1">
      <alignment horizontal="center" wrapText="1"/>
    </xf>
    <xf numFmtId="2" fontId="22" fillId="396" borderId="14" xfId="0" applyNumberFormat="1" applyFont="1" applyFill="1" applyBorder="1" applyAlignment="1">
      <alignment horizontal="center" wrapText="1"/>
    </xf>
    <xf numFmtId="2" fontId="22" fillId="356" borderId="14" xfId="0" applyNumberFormat="1" applyFont="1" applyFill="1" applyBorder="1" applyAlignment="1">
      <alignment horizontal="center" wrapText="1"/>
    </xf>
    <xf numFmtId="2" fontId="22" fillId="262" borderId="14" xfId="0" applyNumberFormat="1" applyFont="1" applyFill="1" applyBorder="1" applyAlignment="1">
      <alignment horizontal="center" wrapText="1"/>
    </xf>
    <xf numFmtId="2" fontId="22" fillId="339" borderId="14" xfId="0" applyNumberFormat="1" applyFont="1" applyFill="1" applyBorder="1" applyAlignment="1">
      <alignment horizontal="center" wrapText="1"/>
    </xf>
    <xf numFmtId="2" fontId="22" fillId="320" borderId="13" xfId="0" applyNumberFormat="1" applyFont="1" applyFill="1" applyBorder="1" applyAlignment="1">
      <alignment horizontal="center" wrapText="1"/>
    </xf>
    <xf numFmtId="2" fontId="22" fillId="245" borderId="14" xfId="0" applyNumberFormat="1" applyFont="1" applyFill="1" applyBorder="1" applyAlignment="1">
      <alignment horizontal="center" wrapText="1"/>
    </xf>
    <xf numFmtId="2" fontId="22" fillId="68" borderId="13" xfId="0" applyNumberFormat="1" applyFont="1" applyFill="1" applyBorder="1" applyAlignment="1">
      <alignment horizontal="center" wrapText="1"/>
    </xf>
    <xf numFmtId="2" fontId="22" fillId="127" borderId="13" xfId="0" applyNumberFormat="1" applyFont="1" applyFill="1" applyBorder="1" applyAlignment="1">
      <alignment horizontal="center" wrapText="1"/>
    </xf>
    <xf numFmtId="2" fontId="22" fillId="441" borderId="14" xfId="0" applyNumberFormat="1" applyFont="1" applyFill="1" applyBorder="1" applyAlignment="1">
      <alignment horizontal="center" wrapText="1"/>
    </xf>
    <xf numFmtId="2" fontId="22" fillId="464" borderId="14" xfId="0" applyNumberFormat="1" applyFont="1" applyFill="1" applyBorder="1" applyAlignment="1">
      <alignment horizontal="center" wrapText="1"/>
    </xf>
    <xf numFmtId="2" fontId="22" fillId="373" borderId="14" xfId="0" applyNumberFormat="1" applyFont="1" applyFill="1" applyBorder="1" applyAlignment="1">
      <alignment horizontal="center" wrapText="1"/>
    </xf>
    <xf numFmtId="2" fontId="22" fillId="390" borderId="14" xfId="0" applyNumberFormat="1" applyFont="1" applyFill="1" applyBorder="1" applyAlignment="1">
      <alignment horizontal="center" wrapText="1"/>
    </xf>
    <xf numFmtId="2" fontId="22" fillId="525" borderId="0" xfId="0" applyNumberFormat="1" applyFont="1" applyFill="1" applyBorder="1" applyAlignment="1">
      <alignment horizontal="center" wrapText="1"/>
    </xf>
    <xf numFmtId="2" fontId="22" fillId="393" borderId="0" xfId="0" applyNumberFormat="1" applyFont="1" applyFill="1" applyBorder="1" applyAlignment="1">
      <alignment horizontal="center" wrapText="1"/>
    </xf>
    <xf numFmtId="2" fontId="22" fillId="40" borderId="13" xfId="0" applyNumberFormat="1" applyFont="1" applyFill="1" applyBorder="1" applyAlignment="1">
      <alignment horizontal="center" wrapText="1"/>
    </xf>
    <xf numFmtId="2" fontId="22" fillId="350" borderId="14" xfId="0" applyNumberFormat="1" applyFont="1" applyFill="1" applyBorder="1" applyAlignment="1">
      <alignment horizontal="center" wrapText="1"/>
    </xf>
    <xf numFmtId="2" fontId="22" fillId="444" borderId="0" xfId="0" applyNumberFormat="1" applyFont="1" applyFill="1" applyBorder="1" applyAlignment="1">
      <alignment horizontal="center" wrapText="1"/>
    </xf>
    <xf numFmtId="2" fontId="22" fillId="282" borderId="13" xfId="0" applyNumberFormat="1" applyFont="1" applyFill="1" applyBorder="1" applyAlignment="1">
      <alignment horizontal="center" wrapText="1"/>
    </xf>
    <xf numFmtId="2" fontId="22" fillId="47" borderId="13" xfId="0" applyNumberFormat="1" applyFont="1" applyFill="1" applyBorder="1" applyAlignment="1">
      <alignment horizontal="center" wrapText="1"/>
    </xf>
    <xf numFmtId="2" fontId="22" fillId="78" borderId="13" xfId="0" applyNumberFormat="1" applyFont="1" applyFill="1" applyBorder="1" applyAlignment="1">
      <alignment horizontal="center" wrapText="1"/>
    </xf>
    <xf numFmtId="2" fontId="22" fillId="136" borderId="13" xfId="0" applyNumberFormat="1" applyFont="1" applyFill="1" applyBorder="1" applyAlignment="1">
      <alignment horizontal="center" wrapText="1"/>
    </xf>
    <xf numFmtId="2" fontId="22" fillId="266" borderId="14" xfId="0" applyNumberFormat="1" applyFont="1" applyFill="1" applyBorder="1" applyAlignment="1">
      <alignment horizontal="center" wrapText="1"/>
    </xf>
    <xf numFmtId="2" fontId="22" fillId="266" borderId="0" xfId="0" applyNumberFormat="1" applyFont="1" applyFill="1" applyBorder="1" applyAlignment="1">
      <alignment horizontal="center" wrapText="1"/>
    </xf>
    <xf numFmtId="2" fontId="22" fillId="81" borderId="14" xfId="0" applyNumberFormat="1" applyFont="1" applyFill="1" applyBorder="1" applyAlignment="1">
      <alignment horizontal="center" wrapText="1"/>
    </xf>
    <xf numFmtId="2" fontId="22" fillId="471" borderId="0" xfId="0" applyNumberFormat="1" applyFont="1" applyFill="1" applyBorder="1" applyAlignment="1">
      <alignment horizontal="center" wrapText="1"/>
    </xf>
    <xf numFmtId="2" fontId="22" fillId="343" borderId="0" xfId="0" applyNumberFormat="1" applyFont="1" applyFill="1" applyBorder="1" applyAlignment="1">
      <alignment horizontal="center" wrapText="1"/>
    </xf>
    <xf numFmtId="2" fontId="22" fillId="87" borderId="13" xfId="0" applyNumberFormat="1" applyFont="1" applyFill="1" applyBorder="1" applyAlignment="1">
      <alignment horizontal="center" wrapText="1"/>
    </xf>
    <xf numFmtId="2" fontId="22" fillId="211" borderId="14" xfId="0" applyNumberFormat="1" applyFont="1" applyFill="1" applyBorder="1" applyAlignment="1">
      <alignment horizontal="center" wrapText="1"/>
    </xf>
    <xf numFmtId="2" fontId="22" fillId="468" borderId="0" xfId="0" applyNumberFormat="1" applyFont="1" applyFill="1" applyBorder="1" applyAlignment="1">
      <alignment horizontal="center" wrapText="1"/>
    </xf>
    <xf numFmtId="2" fontId="22" fillId="370" borderId="14" xfId="0" applyNumberFormat="1" applyFont="1" applyFill="1" applyBorder="1" applyAlignment="1">
      <alignment horizontal="center" wrapText="1"/>
    </xf>
    <xf numFmtId="2" fontId="22" fillId="248" borderId="0" xfId="0" applyNumberFormat="1" applyFont="1" applyFill="1" applyBorder="1" applyAlignment="1">
      <alignment horizontal="center" wrapText="1"/>
    </xf>
    <xf numFmtId="2" fontId="22" fillId="486" borderId="0" xfId="0" applyNumberFormat="1" applyFont="1" applyFill="1" applyBorder="1" applyAlignment="1">
      <alignment horizontal="center" wrapText="1"/>
    </xf>
    <xf numFmtId="2" fontId="22" fillId="304" borderId="14" xfId="0" applyNumberFormat="1" applyFont="1" applyFill="1" applyBorder="1" applyAlignment="1">
      <alignment horizontal="center" wrapText="1"/>
    </xf>
    <xf numFmtId="2" fontId="22" fillId="437" borderId="13" xfId="0" applyNumberFormat="1" applyFont="1" applyFill="1" applyBorder="1" applyAlignment="1">
      <alignment horizontal="center" wrapText="1"/>
    </xf>
    <xf numFmtId="2" fontId="22" fillId="271" borderId="13" xfId="0" applyNumberFormat="1" applyFont="1" applyFill="1" applyBorder="1" applyAlignment="1">
      <alignment horizontal="center" wrapText="1"/>
    </xf>
    <xf numFmtId="2" fontId="22" fillId="388" borderId="0" xfId="0" applyNumberFormat="1" applyFont="1" applyFill="1" applyBorder="1" applyAlignment="1">
      <alignment horizontal="center" wrapText="1"/>
    </xf>
    <xf numFmtId="2" fontId="22" fillId="157" borderId="14" xfId="0" applyNumberFormat="1" applyFont="1" applyFill="1" applyBorder="1" applyAlignment="1">
      <alignment horizontal="center" wrapText="1"/>
    </xf>
    <xf numFmtId="2" fontId="22" fillId="368" borderId="0" xfId="0" applyNumberFormat="1" applyFont="1" applyFill="1" applyBorder="1" applyAlignment="1">
      <alignment horizontal="center" wrapText="1"/>
    </xf>
    <xf numFmtId="2" fontId="22" fillId="419" borderId="13" xfId="0" applyNumberFormat="1" applyFont="1" applyFill="1" applyBorder="1" applyAlignment="1">
      <alignment horizontal="center" wrapText="1"/>
    </xf>
    <xf numFmtId="2" fontId="22" fillId="173" borderId="14" xfId="0" applyNumberFormat="1" applyFont="1" applyFill="1" applyBorder="1" applyAlignment="1">
      <alignment horizontal="center" wrapText="1"/>
    </xf>
    <xf numFmtId="2" fontId="22" fillId="516" borderId="0" xfId="0" applyNumberFormat="1" applyFont="1" applyFill="1" applyBorder="1" applyAlignment="1">
      <alignment horizontal="center" wrapText="1"/>
    </xf>
    <xf numFmtId="2" fontId="22" fillId="525" borderId="13" xfId="0" applyNumberFormat="1" applyFont="1" applyFill="1" applyBorder="1" applyAlignment="1">
      <alignment horizontal="center" wrapText="1"/>
    </xf>
    <xf numFmtId="2" fontId="22" fillId="364" borderId="13" xfId="0" applyNumberFormat="1" applyFont="1" applyFill="1" applyBorder="1" applyAlignment="1">
      <alignment horizontal="center" wrapText="1"/>
    </xf>
    <xf numFmtId="2" fontId="22" fillId="315" borderId="14" xfId="0" applyNumberFormat="1" applyFont="1" applyFill="1" applyBorder="1" applyAlignment="1">
      <alignment horizontal="center" wrapText="1"/>
    </xf>
    <xf numFmtId="2" fontId="22" fillId="368" borderId="13" xfId="0" applyNumberFormat="1" applyFont="1" applyFill="1" applyBorder="1" applyAlignment="1">
      <alignment horizontal="center" wrapText="1"/>
    </xf>
    <xf numFmtId="2" fontId="22" fillId="231" borderId="14" xfId="0" applyNumberFormat="1" applyFont="1" applyFill="1" applyBorder="1" applyAlignment="1">
      <alignment horizontal="center" wrapText="1"/>
    </xf>
    <xf numFmtId="2" fontId="22" fillId="285" borderId="13" xfId="0" applyNumberFormat="1" applyFont="1" applyFill="1" applyBorder="1" applyAlignment="1">
      <alignment horizontal="center" wrapText="1"/>
    </xf>
    <xf numFmtId="2" fontId="22" fillId="314" borderId="14" xfId="0" applyNumberFormat="1" applyFont="1" applyFill="1" applyBorder="1" applyAlignment="1">
      <alignment horizontal="center" wrapText="1"/>
    </xf>
    <xf numFmtId="2" fontId="22" fillId="509" borderId="0" xfId="0" applyNumberFormat="1" applyFont="1" applyFill="1" applyBorder="1" applyAlignment="1">
      <alignment horizontal="center" wrapText="1"/>
    </xf>
    <xf numFmtId="2" fontId="22" fillId="391" borderId="13" xfId="0" applyNumberFormat="1" applyFont="1" applyFill="1" applyBorder="1" applyAlignment="1">
      <alignment horizontal="center" wrapText="1"/>
    </xf>
    <xf numFmtId="2" fontId="22" fillId="399" borderId="14" xfId="0" applyNumberFormat="1" applyFont="1" applyFill="1" applyBorder="1" applyAlignment="1">
      <alignment horizontal="center" wrapText="1"/>
    </xf>
    <xf numFmtId="2" fontId="22" fillId="418" borderId="13" xfId="0" applyNumberFormat="1" applyFont="1" applyFill="1" applyBorder="1" applyAlignment="1">
      <alignment horizontal="center" wrapText="1"/>
    </xf>
    <xf numFmtId="2" fontId="22" fillId="433" borderId="14" xfId="0" applyNumberFormat="1" applyFont="1" applyFill="1" applyBorder="1" applyAlignment="1">
      <alignment horizontal="center" wrapText="1"/>
    </xf>
    <xf numFmtId="2" fontId="22" fillId="64" borderId="13" xfId="0" applyNumberFormat="1" applyFont="1" applyFill="1" applyBorder="1" applyAlignment="1">
      <alignment horizontal="center" wrapText="1"/>
    </xf>
    <xf numFmtId="2" fontId="22" fillId="340" borderId="14" xfId="0" applyNumberFormat="1" applyFont="1" applyFill="1" applyBorder="1" applyAlignment="1">
      <alignment horizontal="center" wrapText="1"/>
    </xf>
    <xf numFmtId="2" fontId="22" fillId="375" borderId="13" xfId="0" applyNumberFormat="1" applyFont="1" applyFill="1" applyBorder="1" applyAlignment="1">
      <alignment horizontal="center" wrapText="1"/>
    </xf>
    <xf numFmtId="2" fontId="22" fillId="433" borderId="13" xfId="0" applyNumberFormat="1" applyFont="1" applyFill="1" applyBorder="1" applyAlignment="1">
      <alignment horizontal="center" wrapText="1"/>
    </xf>
    <xf numFmtId="2" fontId="22" fillId="434" borderId="14" xfId="0" applyNumberFormat="1" applyFont="1" applyFill="1" applyBorder="1" applyAlignment="1">
      <alignment horizontal="center" wrapText="1"/>
    </xf>
    <xf numFmtId="2" fontId="22" fillId="515" borderId="0" xfId="0" applyNumberFormat="1" applyFont="1" applyFill="1" applyBorder="1" applyAlignment="1">
      <alignment horizontal="center" wrapText="1"/>
    </xf>
    <xf numFmtId="2" fontId="22" fillId="474" borderId="14" xfId="0" applyNumberFormat="1" applyFont="1" applyFill="1" applyBorder="1" applyAlignment="1">
      <alignment horizontal="center" wrapText="1"/>
    </xf>
    <xf numFmtId="2" fontId="22" fillId="342" borderId="13" xfId="0" applyNumberFormat="1" applyFont="1" applyFill="1" applyBorder="1" applyAlignment="1">
      <alignment horizontal="center" wrapText="1"/>
    </xf>
    <xf numFmtId="2" fontId="22" fillId="309" borderId="13" xfId="0" applyNumberFormat="1" applyFont="1" applyFill="1" applyBorder="1" applyAlignment="1">
      <alignment horizontal="center" wrapText="1"/>
    </xf>
    <xf numFmtId="2" fontId="22" fillId="519" borderId="14" xfId="0" applyNumberFormat="1" applyFont="1" applyFill="1" applyBorder="1" applyAlignment="1">
      <alignment horizontal="center" wrapText="1"/>
    </xf>
    <xf numFmtId="2" fontId="22" fillId="262" borderId="13" xfId="0" applyNumberFormat="1" applyFont="1" applyFill="1" applyBorder="1" applyAlignment="1">
      <alignment horizontal="center" wrapText="1"/>
    </xf>
    <xf numFmtId="2" fontId="22" fillId="239" borderId="14" xfId="0" applyNumberFormat="1" applyFont="1" applyFill="1" applyBorder="1" applyAlignment="1">
      <alignment horizontal="center" wrapText="1"/>
    </xf>
    <xf numFmtId="2" fontId="22" fillId="265" borderId="13" xfId="0" applyNumberFormat="1" applyFont="1" applyFill="1" applyBorder="1" applyAlignment="1">
      <alignment horizontal="center" wrapText="1"/>
    </xf>
    <xf numFmtId="2" fontId="22" fillId="374" borderId="14" xfId="0" applyNumberFormat="1" applyFont="1" applyFill="1" applyBorder="1" applyAlignment="1">
      <alignment horizontal="center" wrapText="1"/>
    </xf>
    <xf numFmtId="2" fontId="22" fillId="469" borderId="0" xfId="0" applyNumberFormat="1" applyFont="1" applyFill="1" applyBorder="1" applyAlignment="1">
      <alignment horizontal="center" wrapText="1"/>
    </xf>
    <xf numFmtId="2" fontId="22" fillId="447" borderId="0" xfId="0" applyNumberFormat="1" applyFont="1" applyFill="1" applyBorder="1" applyAlignment="1">
      <alignment horizontal="center" wrapText="1"/>
    </xf>
    <xf numFmtId="2" fontId="22" fillId="451" borderId="13" xfId="0" applyNumberFormat="1" applyFont="1" applyFill="1" applyBorder="1" applyAlignment="1">
      <alignment horizontal="center" wrapText="1"/>
    </xf>
    <xf numFmtId="2" fontId="22" fillId="392" borderId="13" xfId="0" applyNumberFormat="1" applyFont="1" applyFill="1" applyBorder="1" applyAlignment="1">
      <alignment horizontal="center" wrapText="1"/>
    </xf>
    <xf numFmtId="2" fontId="22" fillId="454" borderId="13" xfId="0" applyNumberFormat="1" applyFont="1" applyFill="1" applyBorder="1" applyAlignment="1">
      <alignment horizontal="center" wrapText="1"/>
    </xf>
    <xf numFmtId="2" fontId="22" fillId="517" borderId="0" xfId="0" applyNumberFormat="1" applyFont="1" applyFill="1" applyBorder="1" applyAlignment="1">
      <alignment horizontal="center" wrapText="1"/>
    </xf>
    <xf numFmtId="2" fontId="22" fillId="469" borderId="13" xfId="0" applyNumberFormat="1" applyFont="1" applyFill="1" applyBorder="1" applyAlignment="1">
      <alignment horizontal="center" wrapText="1"/>
    </xf>
    <xf numFmtId="2" fontId="22" fillId="522" borderId="13" xfId="0" applyNumberFormat="1" applyFont="1" applyFill="1" applyBorder="1" applyAlignment="1">
      <alignment horizontal="center" wrapText="1"/>
    </xf>
    <xf numFmtId="2" fontId="22" fillId="372" borderId="13" xfId="0" applyNumberFormat="1" applyFont="1" applyFill="1" applyBorder="1" applyAlignment="1">
      <alignment horizontal="center" wrapText="1"/>
    </xf>
    <xf numFmtId="2" fontId="22" fillId="396" borderId="13" xfId="0" applyNumberFormat="1" applyFont="1" applyFill="1" applyBorder="1" applyAlignment="1">
      <alignment horizontal="center" wrapText="1"/>
    </xf>
    <xf numFmtId="2" fontId="22" fillId="53" borderId="14" xfId="0" applyNumberFormat="1" applyFont="1" applyFill="1" applyBorder="1" applyAlignment="1">
      <alignment horizontal="center" wrapText="1"/>
    </xf>
    <xf numFmtId="2" fontId="22" fillId="399" borderId="13" xfId="0" applyNumberFormat="1" applyFont="1" applyFill="1" applyBorder="1" applyAlignment="1">
      <alignment horizontal="center" wrapText="1"/>
    </xf>
    <xf numFmtId="2" fontId="22" fillId="93" borderId="0" xfId="0" applyNumberFormat="1" applyFont="1" applyFill="1" applyBorder="1" applyAlignment="1">
      <alignment horizontal="center" wrapText="1"/>
    </xf>
    <xf numFmtId="2" fontId="22" fillId="360" borderId="0" xfId="0" applyNumberFormat="1" applyFont="1" applyFill="1" applyBorder="1" applyAlignment="1">
      <alignment horizontal="center" wrapText="1"/>
    </xf>
    <xf numFmtId="2" fontId="22" fillId="501" borderId="13" xfId="0" applyNumberFormat="1" applyFont="1" applyFill="1" applyBorder="1" applyAlignment="1">
      <alignment horizontal="center" wrapText="1"/>
    </xf>
    <xf numFmtId="2" fontId="22" fillId="38" borderId="14" xfId="0" applyNumberFormat="1" applyFont="1" applyFill="1" applyBorder="1" applyAlignment="1">
      <alignment horizontal="center" wrapText="1"/>
    </xf>
    <xf numFmtId="2" fontId="22" fillId="453" borderId="13" xfId="0" applyNumberFormat="1" applyFont="1" applyFill="1" applyBorder="1" applyAlignment="1">
      <alignment horizontal="center" wrapText="1"/>
    </xf>
    <xf numFmtId="2" fontId="22" fillId="46" borderId="14" xfId="0" applyNumberFormat="1" applyFont="1" applyFill="1" applyBorder="1" applyAlignment="1">
      <alignment horizontal="center" wrapText="1"/>
    </xf>
    <xf numFmtId="2" fontId="22" fillId="498" borderId="14" xfId="0" applyNumberFormat="1" applyFont="1" applyFill="1" applyBorder="1" applyAlignment="1">
      <alignment horizontal="center" wrapText="1"/>
    </xf>
    <xf numFmtId="2" fontId="22" fillId="102" borderId="14" xfId="0" applyNumberFormat="1" applyFont="1" applyFill="1" applyBorder="1" applyAlignment="1">
      <alignment horizontal="center" wrapText="1"/>
    </xf>
    <xf numFmtId="2" fontId="22" fillId="464" borderId="0" xfId="0" applyNumberFormat="1" applyFont="1" applyFill="1" applyBorder="1" applyAlignment="1">
      <alignment horizontal="center" wrapText="1"/>
    </xf>
    <xf numFmtId="2" fontId="22" fillId="397" borderId="14" xfId="0" applyNumberFormat="1" applyFont="1" applyFill="1" applyBorder="1" applyAlignment="1">
      <alignment horizontal="center" wrapText="1"/>
    </xf>
    <xf numFmtId="2" fontId="22" fillId="417" borderId="13" xfId="0" applyNumberFormat="1" applyFont="1" applyFill="1" applyBorder="1" applyAlignment="1">
      <alignment horizontal="center" wrapText="1"/>
    </xf>
    <xf numFmtId="2" fontId="22" fillId="484" borderId="13" xfId="0" applyNumberFormat="1" applyFont="1" applyFill="1" applyBorder="1" applyAlignment="1">
      <alignment horizontal="center" wrapText="1"/>
    </xf>
    <xf numFmtId="2" fontId="22" fillId="519" borderId="0" xfId="0" applyNumberFormat="1" applyFont="1" applyFill="1" applyBorder="1" applyAlignment="1">
      <alignment horizontal="center" wrapText="1"/>
    </xf>
    <xf numFmtId="2" fontId="22" fillId="326" borderId="13" xfId="0" applyNumberFormat="1" applyFont="1" applyFill="1" applyBorder="1" applyAlignment="1">
      <alignment horizontal="center" wrapText="1"/>
    </xf>
    <xf numFmtId="2" fontId="22" fillId="517" borderId="14" xfId="0" applyNumberFormat="1" applyFont="1" applyFill="1" applyBorder="1" applyAlignment="1">
      <alignment horizontal="center" wrapText="1"/>
    </xf>
    <xf numFmtId="2" fontId="22" fillId="509" borderId="14" xfId="0" applyNumberFormat="1" applyFont="1" applyFill="1" applyBorder="1" applyAlignment="1">
      <alignment horizontal="center" wrapText="1"/>
    </xf>
    <xf numFmtId="2" fontId="22" fillId="371" borderId="14" xfId="0" applyNumberFormat="1" applyFont="1" applyFill="1" applyBorder="1" applyAlignment="1">
      <alignment horizontal="center" wrapText="1"/>
    </xf>
    <xf numFmtId="2" fontId="22" fillId="330" borderId="13" xfId="0" applyNumberFormat="1" applyFont="1" applyFill="1" applyBorder="1" applyAlignment="1">
      <alignment horizontal="center" wrapText="1"/>
    </xf>
    <xf numFmtId="2" fontId="22" fillId="313" borderId="14" xfId="0" applyNumberFormat="1" applyFont="1" applyFill="1" applyBorder="1" applyAlignment="1">
      <alignment horizontal="center" wrapText="1"/>
    </xf>
    <xf numFmtId="2" fontId="22" fillId="457" borderId="14" xfId="0" applyNumberFormat="1" applyFont="1" applyFill="1" applyBorder="1" applyAlignment="1">
      <alignment horizontal="center" wrapText="1"/>
    </xf>
    <xf numFmtId="2" fontId="22" fillId="234" borderId="13" xfId="0" applyNumberFormat="1" applyFont="1" applyFill="1" applyBorder="1" applyAlignment="1">
      <alignment horizontal="center" wrapText="1"/>
    </xf>
    <xf numFmtId="2" fontId="22" fillId="270" borderId="14" xfId="0" applyNumberFormat="1" applyFont="1" applyFill="1" applyBorder="1" applyAlignment="1">
      <alignment horizontal="center" wrapText="1"/>
    </xf>
    <xf numFmtId="2" fontId="22" fillId="258" borderId="13" xfId="0" applyNumberFormat="1" applyFont="1" applyFill="1" applyBorder="1" applyAlignment="1">
      <alignment horizontal="center" wrapText="1"/>
    </xf>
    <xf numFmtId="2" fontId="22" fillId="470" borderId="14" xfId="0" applyNumberFormat="1" applyFont="1" applyFill="1" applyBorder="1" applyAlignment="1">
      <alignment horizontal="center" wrapText="1"/>
    </xf>
    <xf numFmtId="2" fontId="22" fillId="251" borderId="13" xfId="0" applyNumberFormat="1" applyFont="1" applyFill="1" applyBorder="1" applyAlignment="1">
      <alignment horizontal="center" wrapText="1"/>
    </xf>
    <xf numFmtId="2" fontId="22" fillId="395" borderId="14" xfId="0" applyNumberFormat="1" applyFont="1" applyFill="1" applyBorder="1" applyAlignment="1">
      <alignment horizontal="center" wrapText="1"/>
    </xf>
    <xf numFmtId="2" fontId="22" fillId="156" borderId="13" xfId="0" applyNumberFormat="1" applyFont="1" applyFill="1" applyBorder="1" applyAlignment="1">
      <alignment horizontal="center" wrapText="1"/>
    </xf>
    <xf numFmtId="2" fontId="22" fillId="438" borderId="14" xfId="0" applyNumberFormat="1" applyFont="1" applyFill="1" applyBorder="1" applyAlignment="1">
      <alignment horizontal="center" wrapText="1"/>
    </xf>
    <xf numFmtId="2" fontId="22" fillId="302" borderId="14" xfId="0" applyNumberFormat="1" applyFont="1" applyFill="1" applyBorder="1" applyAlignment="1">
      <alignment horizontal="center" wrapText="1"/>
    </xf>
    <xf numFmtId="2" fontId="22" fillId="450" borderId="13" xfId="0" applyNumberFormat="1" applyFont="1" applyFill="1" applyBorder="1" applyAlignment="1">
      <alignment horizontal="center" wrapText="1"/>
    </xf>
    <xf numFmtId="2" fontId="22" fillId="336" borderId="14" xfId="0" applyNumberFormat="1" applyFont="1" applyFill="1" applyBorder="1" applyAlignment="1">
      <alignment horizontal="center" wrapText="1"/>
    </xf>
    <xf numFmtId="2" fontId="22" fillId="381" borderId="13" xfId="0" applyNumberFormat="1" applyFont="1" applyFill="1" applyBorder="1" applyAlignment="1">
      <alignment horizontal="center" wrapText="1"/>
    </xf>
    <xf numFmtId="2" fontId="22" fillId="333" borderId="14" xfId="0" applyNumberFormat="1" applyFont="1" applyFill="1" applyBorder="1" applyAlignment="1">
      <alignment horizontal="center" wrapText="1"/>
    </xf>
    <xf numFmtId="2" fontId="22" fillId="333" borderId="13" xfId="0" applyNumberFormat="1" applyFont="1" applyFill="1" applyBorder="1" applyAlignment="1">
      <alignment horizontal="center" wrapText="1"/>
    </xf>
    <xf numFmtId="2" fontId="22" fillId="389" borderId="14" xfId="0" applyNumberFormat="1" applyFont="1" applyFill="1" applyBorder="1" applyAlignment="1">
      <alignment horizontal="center" wrapText="1"/>
    </xf>
    <xf numFmtId="2" fontId="22" fillId="335" borderId="13" xfId="0" applyNumberFormat="1" applyFont="1" applyFill="1" applyBorder="1" applyAlignment="1">
      <alignment horizontal="center" wrapText="1"/>
    </xf>
    <xf numFmtId="2" fontId="22" fillId="453" borderId="0" xfId="0" applyNumberFormat="1" applyFont="1" applyFill="1" applyBorder="1" applyAlignment="1">
      <alignment horizontal="center" wrapText="1"/>
    </xf>
    <xf numFmtId="2" fontId="22" fillId="298" borderId="13" xfId="0" applyNumberFormat="1" applyFont="1" applyFill="1" applyBorder="1" applyAlignment="1">
      <alignment horizontal="center" wrapText="1"/>
    </xf>
    <xf numFmtId="2" fontId="22" fillId="419" borderId="14" xfId="0" applyNumberFormat="1" applyFont="1" applyFill="1" applyBorder="1" applyAlignment="1">
      <alignment horizontal="center" wrapText="1"/>
    </xf>
    <xf numFmtId="2" fontId="22" fillId="309" borderId="14" xfId="0" applyNumberFormat="1" applyFont="1" applyFill="1" applyBorder="1" applyAlignment="1">
      <alignment horizontal="center" wrapText="1"/>
    </xf>
    <xf numFmtId="2" fontId="22" fillId="205" borderId="14" xfId="0" applyNumberFormat="1" applyFont="1" applyFill="1" applyBorder="1" applyAlignment="1">
      <alignment horizontal="center" wrapText="1"/>
    </xf>
    <xf numFmtId="2" fontId="22" fillId="367" borderId="13" xfId="0" applyNumberFormat="1" applyFont="1" applyFill="1" applyBorder="1" applyAlignment="1">
      <alignment horizontal="center" wrapText="1"/>
    </xf>
    <xf numFmtId="2" fontId="22" fillId="393" borderId="14" xfId="0" applyNumberFormat="1" applyFont="1" applyFill="1" applyBorder="1" applyAlignment="1">
      <alignment horizontal="center" wrapText="1"/>
    </xf>
    <xf numFmtId="2" fontId="22" fillId="201" borderId="13" xfId="0" applyNumberFormat="1" applyFont="1" applyFill="1" applyBorder="1" applyAlignment="1">
      <alignment horizontal="center" wrapText="1"/>
    </xf>
    <xf numFmtId="2" fontId="22" fillId="454" borderId="14" xfId="0" applyNumberFormat="1" applyFont="1" applyFill="1" applyBorder="1" applyAlignment="1">
      <alignment horizontal="center" wrapText="1"/>
    </xf>
    <xf numFmtId="2" fontId="22" fillId="501" borderId="14" xfId="0" applyNumberFormat="1" applyFont="1" applyFill="1" applyBorder="1" applyAlignment="1">
      <alignment horizontal="center" wrapText="1"/>
    </xf>
    <xf numFmtId="2" fontId="22" fillId="267" borderId="14" xfId="0" applyNumberFormat="1" applyFont="1" applyFill="1" applyBorder="1" applyAlignment="1">
      <alignment horizontal="center" wrapText="1"/>
    </xf>
    <xf numFmtId="2" fontId="22" fillId="218" borderId="13" xfId="0" applyNumberFormat="1" applyFont="1" applyFill="1" applyBorder="1" applyAlignment="1">
      <alignment horizontal="center" wrapText="1"/>
    </xf>
    <xf numFmtId="2" fontId="22" fillId="348" borderId="13" xfId="0" applyNumberFormat="1" applyFont="1" applyFill="1" applyBorder="1" applyAlignment="1">
      <alignment horizontal="center" wrapText="1"/>
    </xf>
    <xf numFmtId="2" fontId="22" fillId="246" borderId="13" xfId="0" applyNumberFormat="1" applyFont="1" applyFill="1" applyBorder="1" applyAlignment="1">
      <alignment horizontal="center" wrapText="1"/>
    </xf>
    <xf numFmtId="2" fontId="22" fillId="298" borderId="14" xfId="0" applyNumberFormat="1" applyFont="1" applyFill="1" applyBorder="1" applyAlignment="1">
      <alignment horizontal="center" wrapText="1"/>
    </xf>
    <xf numFmtId="2" fontId="22" fillId="189" borderId="13" xfId="0" applyNumberFormat="1" applyFont="1" applyFill="1" applyBorder="1" applyAlignment="1">
      <alignment horizontal="center" wrapText="1"/>
    </xf>
    <xf numFmtId="2" fontId="22" fillId="152" borderId="14" xfId="0" applyNumberFormat="1" applyFont="1" applyFill="1" applyBorder="1" applyAlignment="1">
      <alignment horizontal="center" wrapText="1"/>
    </xf>
    <xf numFmtId="2" fontId="22" fillId="286" borderId="14" xfId="0" applyNumberFormat="1" applyFont="1" applyFill="1" applyBorder="1" applyAlignment="1">
      <alignment horizontal="center" wrapText="1"/>
    </xf>
    <xf numFmtId="2" fontId="22" fillId="122" borderId="0" xfId="0" applyNumberFormat="1" applyFont="1" applyFill="1" applyBorder="1" applyAlignment="1">
      <alignment horizontal="center" wrapText="1"/>
    </xf>
    <xf numFmtId="2" fontId="22" fillId="158" borderId="14" xfId="0" applyNumberFormat="1" applyFont="1" applyFill="1" applyBorder="1" applyAlignment="1">
      <alignment horizontal="center" wrapText="1"/>
    </xf>
    <xf numFmtId="2" fontId="22" fillId="252" borderId="14" xfId="0" applyNumberFormat="1" applyFont="1" applyFill="1" applyBorder="1" applyAlignment="1">
      <alignment horizontal="center" wrapText="1"/>
    </xf>
    <xf numFmtId="2" fontId="22" fillId="297" borderId="13" xfId="0" applyNumberFormat="1" applyFont="1" applyFill="1" applyBorder="1" applyAlignment="1">
      <alignment horizontal="center" wrapText="1"/>
    </xf>
    <xf numFmtId="2" fontId="22" fillId="191" borderId="14" xfId="0" applyNumberFormat="1" applyFont="1" applyFill="1" applyBorder="1" applyAlignment="1">
      <alignment horizontal="center" wrapText="1"/>
    </xf>
    <xf numFmtId="2" fontId="22" fillId="267" borderId="13" xfId="0" applyNumberFormat="1" applyFont="1" applyFill="1" applyBorder="1" applyAlignment="1">
      <alignment horizontal="center" wrapText="1"/>
    </xf>
    <xf numFmtId="2" fontId="22" fillId="276" borderId="0" xfId="0" applyNumberFormat="1" applyFont="1" applyFill="1" applyBorder="1" applyAlignment="1">
      <alignment horizontal="center" wrapText="1"/>
    </xf>
    <xf numFmtId="2" fontId="22" fillId="443" borderId="13" xfId="0" applyNumberFormat="1" applyFont="1" applyFill="1" applyBorder="1" applyAlignment="1">
      <alignment horizontal="center" wrapText="1"/>
    </xf>
    <xf numFmtId="2" fontId="22" fillId="259" borderId="0" xfId="0" applyNumberFormat="1" applyFont="1" applyFill="1" applyBorder="1" applyAlignment="1">
      <alignment horizontal="center" wrapText="1"/>
    </xf>
    <xf numFmtId="2" fontId="22" fillId="230" borderId="0" xfId="0" applyNumberFormat="1" applyFont="1" applyFill="1" applyBorder="1" applyAlignment="1">
      <alignment horizontal="center" wrapText="1"/>
    </xf>
    <xf numFmtId="2" fontId="22" fillId="496" borderId="13" xfId="0" applyNumberFormat="1" applyFont="1" applyFill="1" applyBorder="1" applyAlignment="1">
      <alignment horizontal="center" wrapText="1"/>
    </xf>
    <xf numFmtId="2" fontId="22" fillId="388" borderId="13" xfId="0" applyNumberFormat="1" applyFont="1" applyFill="1" applyBorder="1" applyAlignment="1">
      <alignment horizontal="center" wrapText="1"/>
    </xf>
    <xf numFmtId="2" fontId="22" fillId="268" borderId="14" xfId="0" applyNumberFormat="1" applyFont="1" applyFill="1" applyBorder="1" applyAlignment="1">
      <alignment horizontal="center" wrapText="1"/>
    </xf>
    <xf numFmtId="2" fontId="22" fillId="301" borderId="0" xfId="0" applyNumberFormat="1" applyFont="1" applyFill="1" applyBorder="1" applyAlignment="1">
      <alignment horizontal="center" wrapText="1"/>
    </xf>
    <xf numFmtId="2" fontId="22" fillId="311" borderId="0" xfId="0" applyNumberFormat="1" applyFont="1" applyFill="1" applyBorder="1" applyAlignment="1">
      <alignment horizontal="center" wrapText="1"/>
    </xf>
    <xf numFmtId="2" fontId="22" fillId="465" borderId="0" xfId="0" applyNumberFormat="1" applyFont="1" applyFill="1" applyBorder="1" applyAlignment="1">
      <alignment horizontal="center" wrapText="1"/>
    </xf>
    <xf numFmtId="2" fontId="22" fillId="113" borderId="13" xfId="0" applyNumberFormat="1" applyFont="1" applyFill="1" applyBorder="1" applyAlignment="1">
      <alignment horizontal="center" wrapText="1"/>
    </xf>
    <xf numFmtId="2" fontId="22" fillId="240" borderId="13" xfId="0" applyNumberFormat="1" applyFont="1" applyFill="1" applyBorder="1" applyAlignment="1">
      <alignment horizontal="center" wrapText="1"/>
    </xf>
    <xf numFmtId="2" fontId="22" fillId="42" borderId="14" xfId="0" applyNumberFormat="1" applyFont="1" applyFill="1" applyBorder="1" applyAlignment="1">
      <alignment horizontal="center" wrapText="1"/>
    </xf>
    <xf numFmtId="2" fontId="22" fillId="500" borderId="13" xfId="0" applyNumberFormat="1" applyFont="1" applyFill="1" applyBorder="1" applyAlignment="1">
      <alignment horizontal="center" wrapText="1"/>
    </xf>
    <xf numFmtId="2" fontId="22" fillId="228" borderId="14" xfId="0" applyNumberFormat="1" applyFont="1" applyFill="1" applyBorder="1" applyAlignment="1">
      <alignment horizontal="center" wrapText="1"/>
    </xf>
    <xf numFmtId="2" fontId="22" fillId="138" borderId="14" xfId="0" applyNumberFormat="1" applyFont="1" applyFill="1" applyBorder="1" applyAlignment="1">
      <alignment horizontal="center" wrapText="1"/>
    </xf>
    <xf numFmtId="2" fontId="22" fillId="377" borderId="0" xfId="0" applyNumberFormat="1" applyFont="1" applyFill="1" applyBorder="1" applyAlignment="1">
      <alignment horizontal="center" wrapText="1"/>
    </xf>
    <xf numFmtId="2" fontId="22" fillId="143" borderId="13" xfId="0" applyNumberFormat="1" applyFont="1" applyFill="1" applyBorder="1" applyAlignment="1">
      <alignment horizontal="center" wrapText="1"/>
    </xf>
    <xf numFmtId="2" fontId="22" fillId="215" borderId="14" xfId="0" applyNumberFormat="1" applyFont="1" applyFill="1" applyBorder="1" applyAlignment="1">
      <alignment horizontal="center" wrapText="1"/>
    </xf>
    <xf numFmtId="2" fontId="22" fillId="255" borderId="14" xfId="0" applyNumberFormat="1" applyFont="1" applyFill="1" applyBorder="1" applyAlignment="1">
      <alignment horizontal="center" wrapText="1"/>
    </xf>
    <xf numFmtId="2" fontId="22" fillId="346" borderId="13" xfId="0" applyNumberFormat="1" applyFont="1" applyFill="1" applyBorder="1" applyAlignment="1">
      <alignment horizontal="center" wrapText="1"/>
    </xf>
    <xf numFmtId="2" fontId="22" fillId="116" borderId="14" xfId="0" applyNumberFormat="1" applyFont="1" applyFill="1" applyBorder="1" applyAlignment="1">
      <alignment horizontal="center" wrapText="1"/>
    </xf>
    <xf numFmtId="2" fontId="22" fillId="357" borderId="13" xfId="0" applyNumberFormat="1" applyFont="1" applyFill="1" applyBorder="1" applyAlignment="1">
      <alignment horizontal="center" wrapText="1"/>
    </xf>
    <xf numFmtId="2" fontId="22" fillId="166" borderId="14" xfId="0" applyNumberFormat="1" applyFont="1" applyFill="1" applyBorder="1" applyAlignment="1">
      <alignment horizontal="center" wrapText="1"/>
    </xf>
    <xf numFmtId="2" fontId="22" fillId="97" borderId="14" xfId="0" applyNumberFormat="1" applyFont="1" applyFill="1" applyBorder="1" applyAlignment="1">
      <alignment horizontal="center" wrapText="1"/>
    </xf>
    <xf numFmtId="2" fontId="22" fillId="88" borderId="14" xfId="0" applyNumberFormat="1" applyFont="1" applyFill="1" applyBorder="1" applyAlignment="1">
      <alignment horizontal="center" wrapText="1"/>
    </xf>
    <xf numFmtId="2" fontId="22" fillId="106" borderId="13" xfId="0" applyNumberFormat="1" applyFont="1" applyFill="1" applyBorder="1" applyAlignment="1">
      <alignment horizontal="center" wrapText="1"/>
    </xf>
    <xf numFmtId="2" fontId="22" fillId="220" borderId="13" xfId="0" applyNumberFormat="1" applyFont="1" applyFill="1" applyBorder="1" applyAlignment="1">
      <alignment horizontal="center" wrapText="1"/>
    </xf>
    <xf numFmtId="2" fontId="22" fillId="227" borderId="0" xfId="0" applyNumberFormat="1" applyFont="1" applyFill="1" applyBorder="1" applyAlignment="1">
      <alignment horizontal="center" wrapText="1"/>
    </xf>
    <xf numFmtId="2" fontId="22" fillId="226" borderId="0" xfId="0" applyNumberFormat="1" applyFont="1" applyFill="1" applyBorder="1" applyAlignment="1">
      <alignment horizontal="center" wrapText="1"/>
    </xf>
    <xf numFmtId="2" fontId="22" fillId="149" borderId="13" xfId="0" applyNumberFormat="1" applyFont="1" applyFill="1" applyBorder="1" applyAlignment="1">
      <alignment horizontal="center" wrapText="1"/>
    </xf>
    <xf numFmtId="2" fontId="22" fillId="322" borderId="14" xfId="0" applyNumberFormat="1" applyFont="1" applyFill="1" applyBorder="1" applyAlignment="1">
      <alignment horizontal="center" wrapText="1"/>
    </xf>
    <xf numFmtId="2" fontId="22" fillId="361" borderId="13" xfId="0" applyNumberFormat="1" applyFont="1" applyFill="1" applyBorder="1" applyAlignment="1">
      <alignment horizontal="center" wrapText="1"/>
    </xf>
    <xf numFmtId="2" fontId="22" fillId="300" borderId="14" xfId="0" applyNumberFormat="1" applyFont="1" applyFill="1" applyBorder="1" applyAlignment="1">
      <alignment horizontal="center" wrapText="1"/>
    </xf>
    <xf numFmtId="2" fontId="22" fillId="301" borderId="14" xfId="0" applyNumberFormat="1" applyFont="1" applyFill="1" applyBorder="1" applyAlignment="1">
      <alignment horizontal="center" wrapText="1"/>
    </xf>
    <xf numFmtId="2" fontId="22" fillId="116" borderId="0" xfId="0" applyNumberFormat="1" applyFont="1" applyFill="1" applyBorder="1" applyAlignment="1">
      <alignment horizontal="center" wrapText="1"/>
    </xf>
    <xf numFmtId="2" fontId="22" fillId="60" borderId="13" xfId="0" applyNumberFormat="1" applyFont="1" applyFill="1" applyBorder="1" applyAlignment="1">
      <alignment horizontal="center" wrapText="1"/>
    </xf>
    <xf numFmtId="2" fontId="22" fillId="359" borderId="0" xfId="0" applyNumberFormat="1" applyFont="1" applyFill="1" applyBorder="1" applyAlignment="1">
      <alignment horizontal="center" wrapText="1"/>
    </xf>
    <xf numFmtId="2" fontId="22" fillId="365" borderId="0" xfId="0" applyNumberFormat="1" applyFont="1" applyFill="1" applyBorder="1" applyAlignment="1">
      <alignment horizontal="center" wrapText="1"/>
    </xf>
    <xf numFmtId="2" fontId="22" fillId="249" borderId="14" xfId="0" applyNumberFormat="1" applyFont="1" applyFill="1" applyBorder="1" applyAlignment="1">
      <alignment horizontal="center" wrapText="1"/>
    </xf>
    <xf numFmtId="2" fontId="22" fillId="222" borderId="14" xfId="0" applyNumberFormat="1" applyFont="1" applyFill="1" applyBorder="1" applyAlignment="1">
      <alignment horizontal="center" wrapText="1"/>
    </xf>
    <xf numFmtId="2" fontId="22" fillId="226" borderId="14" xfId="0" applyNumberFormat="1" applyFont="1" applyFill="1" applyBorder="1" applyAlignment="1">
      <alignment horizontal="center" wrapText="1"/>
    </xf>
    <xf numFmtId="2" fontId="22" fillId="181" borderId="14" xfId="0" applyNumberFormat="1" applyFont="1" applyFill="1" applyBorder="1" applyAlignment="1">
      <alignment horizontal="center" wrapText="1"/>
    </xf>
    <xf numFmtId="2" fontId="22" fillId="242" borderId="14" xfId="0" applyNumberFormat="1" applyFont="1" applyFill="1" applyBorder="1" applyAlignment="1">
      <alignment horizontal="center" wrapText="1"/>
    </xf>
    <xf numFmtId="2" fontId="22" fillId="49" borderId="14" xfId="0" applyNumberFormat="1" applyFont="1" applyFill="1" applyBorder="1" applyAlignment="1">
      <alignment horizontal="center" wrapText="1"/>
    </xf>
    <xf numFmtId="2" fontId="22" fillId="500" borderId="14" xfId="0" applyNumberFormat="1" applyFont="1" applyFill="1" applyBorder="1" applyAlignment="1">
      <alignment horizontal="center" wrapText="1"/>
    </xf>
    <xf numFmtId="2" fontId="22" fillId="255" borderId="13" xfId="0" applyNumberFormat="1" applyFont="1" applyFill="1" applyBorder="1" applyAlignment="1">
      <alignment horizontal="center" wrapText="1"/>
    </xf>
    <xf numFmtId="2" fontId="22" fillId="171" borderId="14" xfId="0" applyNumberFormat="1" applyFont="1" applyFill="1" applyBorder="1" applyAlignment="1">
      <alignment horizontal="center" wrapText="1"/>
    </xf>
    <xf numFmtId="2" fontId="22" fillId="65" borderId="13" xfId="0" applyNumberFormat="1" applyFont="1" applyFill="1" applyBorder="1" applyAlignment="1">
      <alignment horizontal="center" wrapText="1"/>
    </xf>
    <xf numFmtId="2" fontId="22" fillId="166" borderId="13" xfId="0" applyNumberFormat="1" applyFont="1" applyFill="1" applyBorder="1" applyAlignment="1">
      <alignment horizontal="center" wrapText="1"/>
    </xf>
    <xf numFmtId="2" fontId="22" fillId="81" borderId="13" xfId="0" applyNumberFormat="1" applyFont="1" applyFill="1" applyBorder="1" applyAlignment="1">
      <alignment horizontal="center" wrapText="1"/>
    </xf>
    <xf numFmtId="2" fontId="22" fillId="127" borderId="14" xfId="0" applyNumberFormat="1" applyFont="1" applyFill="1" applyBorder="1" applyAlignment="1">
      <alignment horizontal="center" wrapText="1"/>
    </xf>
    <xf numFmtId="2" fontId="22" fillId="336" borderId="13" xfId="0" applyNumberFormat="1" applyFont="1" applyFill="1" applyBorder="1" applyAlignment="1">
      <alignment horizontal="center" wrapText="1"/>
    </xf>
    <xf numFmtId="2" fontId="22" fillId="485" borderId="13" xfId="0" applyNumberFormat="1" applyFont="1" applyFill="1" applyBorder="1" applyAlignment="1">
      <alignment horizontal="center" wrapText="1"/>
    </xf>
    <xf numFmtId="2" fontId="22" fillId="383" borderId="14" xfId="0" applyNumberFormat="1" applyFont="1" applyFill="1" applyBorder="1" applyAlignment="1">
      <alignment horizontal="center" wrapText="1"/>
    </xf>
    <xf numFmtId="2" fontId="22" fillId="323" borderId="13" xfId="0" applyNumberFormat="1" applyFont="1" applyFill="1" applyBorder="1" applyAlignment="1">
      <alignment horizontal="center" wrapText="1"/>
    </xf>
    <xf numFmtId="2" fontId="22" fillId="355" borderId="13" xfId="0" applyNumberFormat="1" applyFont="1" applyFill="1" applyBorder="1" applyAlignment="1">
      <alignment horizontal="center" wrapText="1"/>
    </xf>
    <xf numFmtId="2" fontId="22" fillId="292" borderId="13" xfId="0" applyNumberFormat="1" applyFont="1" applyFill="1" applyBorder="1" applyAlignment="1">
      <alignment horizontal="center" wrapText="1"/>
    </xf>
    <xf numFmtId="2" fontId="22" fillId="339" borderId="13" xfId="0" applyNumberFormat="1" applyFont="1" applyFill="1" applyBorder="1" applyAlignment="1">
      <alignment horizontal="center" wrapText="1"/>
    </xf>
    <xf numFmtId="2" fontId="22" fillId="521" borderId="0" xfId="0" applyNumberFormat="1" applyFont="1" applyFill="1" applyBorder="1" applyAlignment="1">
      <alignment horizontal="center" wrapText="1"/>
    </xf>
    <xf numFmtId="2" fontId="22" fillId="494" borderId="13" xfId="0" applyNumberFormat="1" applyFont="1" applyFill="1" applyBorder="1" applyAlignment="1">
      <alignment horizontal="center" wrapText="1"/>
    </xf>
    <xf numFmtId="2" fontId="22" fillId="515" borderId="13" xfId="0" applyNumberFormat="1" applyFont="1" applyFill="1" applyBorder="1" applyAlignment="1">
      <alignment horizontal="center" wrapText="1"/>
    </xf>
    <xf numFmtId="2" fontId="22" fillId="470" borderId="13" xfId="0" applyNumberFormat="1" applyFont="1" applyFill="1" applyBorder="1" applyAlignment="1">
      <alignment horizontal="center" wrapText="1"/>
    </xf>
    <xf numFmtId="2" fontId="22" fillId="409" borderId="13" xfId="0" applyNumberFormat="1" applyFont="1" applyFill="1" applyBorder="1" applyAlignment="1">
      <alignment horizontal="center" wrapText="1"/>
    </xf>
    <xf numFmtId="2" fontId="22" fillId="294" borderId="0" xfId="0" applyNumberFormat="1" applyFont="1" applyFill="1" applyBorder="1" applyAlignment="1">
      <alignment horizontal="center" wrapText="1"/>
    </xf>
    <xf numFmtId="2" fontId="22" fillId="331" borderId="13" xfId="0" applyNumberFormat="1" applyFont="1" applyFill="1" applyBorder="1" applyAlignment="1">
      <alignment horizontal="center" wrapText="1"/>
    </xf>
    <xf numFmtId="2" fontId="22" fillId="405" borderId="14" xfId="0" applyNumberFormat="1" applyFont="1" applyFill="1" applyBorder="1" applyAlignment="1">
      <alignment horizontal="center" wrapText="1"/>
    </xf>
    <xf numFmtId="2" fontId="22" fillId="350" borderId="13" xfId="0" applyNumberFormat="1" applyFont="1" applyFill="1" applyBorder="1" applyAlignment="1">
      <alignment horizontal="center" wrapText="1"/>
    </xf>
    <xf numFmtId="2" fontId="22" fillId="169" borderId="13" xfId="0" applyNumberFormat="1" applyFont="1" applyFill="1" applyBorder="1" applyAlignment="1">
      <alignment horizontal="center" wrapText="1"/>
    </xf>
    <xf numFmtId="2" fontId="22" fillId="504" borderId="13" xfId="0" applyNumberFormat="1" applyFont="1" applyFill="1" applyBorder="1" applyAlignment="1">
      <alignment horizontal="center" wrapText="1"/>
    </xf>
    <xf numFmtId="2" fontId="22" fillId="461" borderId="13" xfId="0" applyNumberFormat="1" applyFont="1" applyFill="1" applyBorder="1" applyAlignment="1">
      <alignment horizontal="center" wrapText="1"/>
    </xf>
    <xf numFmtId="2" fontId="22" fillId="414" borderId="13" xfId="0" applyNumberFormat="1" applyFont="1" applyFill="1" applyBorder="1" applyAlignment="1">
      <alignment horizontal="center" wrapText="1"/>
    </xf>
    <xf numFmtId="2" fontId="22" fillId="189" borderId="14" xfId="0" applyNumberFormat="1" applyFont="1" applyFill="1" applyBorder="1" applyAlignment="1">
      <alignment horizontal="center" wrapText="1"/>
    </xf>
    <xf numFmtId="2" fontId="22" fillId="258" borderId="14" xfId="0" applyNumberFormat="1" applyFont="1" applyFill="1" applyBorder="1" applyAlignment="1">
      <alignment horizontal="center" wrapText="1"/>
    </xf>
    <xf numFmtId="2" fontId="22" fillId="434" borderId="13" xfId="0" applyNumberFormat="1" applyFont="1" applyFill="1" applyBorder="1" applyAlignment="1">
      <alignment horizontal="center" wrapText="1"/>
    </xf>
    <xf numFmtId="2" fontId="22" fillId="429" borderId="13" xfId="0" applyNumberFormat="1" applyFont="1" applyFill="1" applyBorder="1" applyAlignment="1">
      <alignment horizontal="center" wrapText="1"/>
    </xf>
    <xf numFmtId="2" fontId="22" fillId="326" borderId="14" xfId="0" applyNumberFormat="1" applyFont="1" applyFill="1" applyBorder="1" applyAlignment="1">
      <alignment horizontal="center" wrapText="1"/>
    </xf>
    <xf numFmtId="2" fontId="22" fillId="340" borderId="13" xfId="0" applyNumberFormat="1" applyFont="1" applyFill="1" applyBorder="1" applyAlignment="1">
      <alignment horizontal="center" wrapText="1"/>
    </xf>
    <xf numFmtId="2" fontId="22" fillId="369" borderId="14" xfId="0" applyNumberFormat="1" applyFont="1" applyFill="1" applyBorder="1" applyAlignment="1">
      <alignment horizontal="center" wrapText="1"/>
    </xf>
    <xf numFmtId="2" fontId="22" fillId="338" borderId="13" xfId="0" applyNumberFormat="1" applyFont="1" applyFill="1" applyBorder="1" applyAlignment="1">
      <alignment horizontal="center" wrapText="1"/>
    </xf>
    <xf numFmtId="2" fontId="22" fillId="352" borderId="13" xfId="0" applyNumberFormat="1" applyFont="1" applyFill="1" applyBorder="1" applyAlignment="1">
      <alignment horizontal="center" wrapText="1"/>
    </xf>
    <xf numFmtId="2" fontId="22" fillId="428" borderId="13" xfId="0" applyNumberFormat="1" applyFont="1" applyFill="1" applyBorder="1" applyAlignment="1">
      <alignment horizontal="center" wrapText="1"/>
    </xf>
    <xf numFmtId="2" fontId="22" fillId="412" borderId="14" xfId="0" applyNumberFormat="1" applyFont="1" applyFill="1" applyBorder="1" applyAlignment="1">
      <alignment horizontal="center" wrapText="1"/>
    </xf>
    <xf numFmtId="2" fontId="22" fillId="244" borderId="14" xfId="0" applyNumberFormat="1" applyFont="1" applyFill="1" applyBorder="1" applyAlignment="1">
      <alignment horizontal="center" wrapText="1"/>
    </xf>
    <xf numFmtId="2" fontId="22" fillId="269" borderId="14" xfId="0" applyNumberFormat="1" applyFont="1" applyFill="1" applyBorder="1" applyAlignment="1">
      <alignment horizontal="center" wrapText="1"/>
    </xf>
    <xf numFmtId="2" fontId="22" fillId="536" borderId="14" xfId="0" applyNumberFormat="1" applyFont="1" applyFill="1" applyBorder="1" applyAlignment="1">
      <alignment horizontal="center" wrapText="1"/>
    </xf>
    <xf numFmtId="2" fontId="22" fillId="486" borderId="14" xfId="0" applyNumberFormat="1" applyFont="1" applyFill="1" applyBorder="1" applyAlignment="1">
      <alignment horizontal="center" wrapText="1"/>
    </xf>
    <xf numFmtId="2" fontId="22" fillId="402" borderId="0" xfId="0" applyNumberFormat="1" applyFont="1" applyFill="1" applyBorder="1" applyAlignment="1">
      <alignment horizontal="center" wrapText="1"/>
    </xf>
    <xf numFmtId="2" fontId="22" fillId="384" borderId="13" xfId="0" applyNumberFormat="1" applyFont="1" applyFill="1" applyBorder="1" applyAlignment="1">
      <alignment horizontal="center" wrapText="1"/>
    </xf>
    <xf numFmtId="2" fontId="22" fillId="517" borderId="13" xfId="0" applyNumberFormat="1" applyFont="1" applyFill="1" applyBorder="1" applyAlignment="1">
      <alignment horizontal="center" wrapText="1"/>
    </xf>
    <xf numFmtId="2" fontId="22" fillId="300" borderId="0" xfId="0" applyNumberFormat="1" applyFont="1" applyFill="1" applyBorder="1" applyAlignment="1">
      <alignment horizontal="center" wrapText="1"/>
    </xf>
    <xf numFmtId="2" fontId="22" fillId="518" borderId="0" xfId="0" applyNumberFormat="1" applyFont="1" applyFill="1" applyBorder="1" applyAlignment="1">
      <alignment horizontal="center" wrapText="1"/>
    </xf>
    <xf numFmtId="2" fontId="22" fillId="468" borderId="14" xfId="0" applyNumberFormat="1" applyFont="1" applyFill="1" applyBorder="1" applyAlignment="1">
      <alignment horizontal="center" wrapText="1"/>
    </xf>
    <xf numFmtId="2" fontId="22" fillId="423" borderId="0" xfId="0" applyNumberFormat="1" applyFont="1" applyFill="1" applyBorder="1" applyAlignment="1">
      <alignment horizontal="center" wrapText="1"/>
    </xf>
    <xf numFmtId="2" fontId="22" fillId="273" borderId="14" xfId="0" applyNumberFormat="1" applyFont="1" applyFill="1" applyBorder="1" applyAlignment="1">
      <alignment horizontal="center" wrapText="1"/>
    </xf>
    <xf numFmtId="2" fontId="22" fillId="415" borderId="0" xfId="0" applyNumberFormat="1" applyFont="1" applyFill="1" applyBorder="1" applyAlignment="1">
      <alignment horizontal="center" wrapText="1"/>
    </xf>
    <xf numFmtId="2" fontId="22" fillId="519" borderId="13" xfId="0" applyNumberFormat="1" applyFont="1" applyFill="1" applyBorder="1" applyAlignment="1">
      <alignment horizontal="center" wrapText="1"/>
    </xf>
    <xf numFmtId="2" fontId="22" fillId="281" borderId="0" xfId="0" applyNumberFormat="1" applyFont="1" applyFill="1" applyBorder="1" applyAlignment="1">
      <alignment horizontal="center" wrapText="1"/>
    </xf>
    <xf numFmtId="2" fontId="22" fillId="354" borderId="0" xfId="0" applyNumberFormat="1" applyFont="1" applyFill="1" applyBorder="1" applyAlignment="1">
      <alignment horizontal="center" wrapText="1"/>
    </xf>
    <xf numFmtId="2" fontId="22" fillId="353" borderId="14" xfId="0" applyNumberFormat="1" applyFont="1" applyFill="1" applyBorder="1" applyAlignment="1">
      <alignment horizontal="center" wrapText="1"/>
    </xf>
    <xf numFmtId="2" fontId="22" fillId="45" borderId="13" xfId="0" applyNumberFormat="1" applyFont="1" applyFill="1" applyBorder="1" applyAlignment="1">
      <alignment horizontal="center" wrapText="1"/>
    </xf>
    <xf numFmtId="2" fontId="22" fillId="385" borderId="13" xfId="0" applyNumberFormat="1" applyFont="1" applyFill="1" applyBorder="1" applyAlignment="1">
      <alignment horizontal="center" wrapText="1"/>
    </xf>
    <xf numFmtId="2" fontId="22" fillId="343" borderId="14" xfId="0" applyNumberFormat="1" applyFont="1" applyFill="1" applyBorder="1" applyAlignment="1">
      <alignment horizontal="center" wrapText="1"/>
    </xf>
    <xf numFmtId="2" fontId="22" fillId="379" borderId="13" xfId="0" applyNumberFormat="1" applyFont="1" applyFill="1" applyBorder="1" applyAlignment="1">
      <alignment horizontal="center" wrapText="1"/>
    </xf>
    <xf numFmtId="2" fontId="22" fillId="371" borderId="13" xfId="0" applyNumberFormat="1" applyFont="1" applyFill="1" applyBorder="1" applyAlignment="1">
      <alignment horizontal="center" wrapText="1"/>
    </xf>
    <xf numFmtId="2" fontId="22" fillId="490" borderId="13" xfId="0" applyNumberFormat="1" applyFont="1" applyFill="1" applyBorder="1" applyAlignment="1">
      <alignment horizontal="center" wrapText="1"/>
    </xf>
    <xf numFmtId="2" fontId="22" fillId="421" borderId="14" xfId="0" applyNumberFormat="1" applyFont="1" applyFill="1" applyBorder="1" applyAlignment="1">
      <alignment horizontal="center" wrapText="1"/>
    </xf>
    <xf numFmtId="2" fontId="22" fillId="394" borderId="0" xfId="0" applyNumberFormat="1" applyFont="1" applyFill="1" applyBorder="1" applyAlignment="1">
      <alignment horizontal="center" wrapText="1"/>
    </xf>
    <xf numFmtId="2" fontId="22" fillId="400" borderId="0" xfId="0" applyNumberFormat="1" applyFont="1" applyFill="1" applyBorder="1" applyAlignment="1">
      <alignment horizontal="center" wrapText="1"/>
    </xf>
    <xf numFmtId="2" fontId="22" fillId="449" borderId="0" xfId="0" applyNumberFormat="1" applyFont="1" applyFill="1" applyBorder="1" applyAlignment="1">
      <alignment horizontal="center" wrapText="1"/>
    </xf>
    <xf numFmtId="2" fontId="22" fillId="530" borderId="0" xfId="0" applyNumberFormat="1" applyFont="1" applyFill="1" applyBorder="1" applyAlignment="1">
      <alignment horizontal="center" wrapText="1"/>
    </xf>
    <xf numFmtId="2" fontId="22" fillId="492" borderId="14" xfId="0" applyNumberFormat="1" applyFont="1" applyFill="1" applyBorder="1" applyAlignment="1">
      <alignment horizontal="center" wrapText="1"/>
    </xf>
    <xf numFmtId="2" fontId="22" fillId="236" borderId="0" xfId="0" applyNumberFormat="1" applyFont="1" applyFill="1" applyBorder="1" applyAlignment="1">
      <alignment horizontal="center" wrapText="1"/>
    </xf>
    <xf numFmtId="2" fontId="22" fillId="505" borderId="14" xfId="0" applyNumberFormat="1" applyFont="1" applyFill="1" applyBorder="1" applyAlignment="1">
      <alignment horizontal="center" wrapText="1"/>
    </xf>
    <xf numFmtId="2" fontId="22" fillId="416" borderId="14" xfId="0" applyNumberFormat="1" applyFont="1" applyFill="1" applyBorder="1" applyAlignment="1">
      <alignment horizontal="center" wrapText="1"/>
    </xf>
    <xf numFmtId="2" fontId="22" fillId="445" borderId="0" xfId="0" applyNumberFormat="1" applyFont="1" applyFill="1" applyBorder="1" applyAlignment="1">
      <alignment horizontal="center" wrapText="1"/>
    </xf>
    <xf numFmtId="2" fontId="22" fillId="513" borderId="14" xfId="0" applyNumberFormat="1" applyFont="1" applyFill="1" applyBorder="1" applyAlignment="1">
      <alignment horizontal="center" wrapText="1"/>
    </xf>
    <xf numFmtId="2" fontId="22" fillId="532" borderId="14" xfId="0" applyNumberFormat="1" applyFont="1" applyFill="1" applyBorder="1" applyAlignment="1">
      <alignment horizontal="center" wrapText="1"/>
    </xf>
    <xf numFmtId="2" fontId="22" fillId="462" borderId="14" xfId="0" applyNumberFormat="1" applyFont="1" applyFill="1" applyBorder="1" applyAlignment="1">
      <alignment horizontal="center" wrapText="1"/>
    </xf>
    <xf numFmtId="2" fontId="22" fillId="358" borderId="14" xfId="0" applyNumberFormat="1" applyFont="1" applyFill="1" applyBorder="1" applyAlignment="1">
      <alignment horizontal="center" wrapText="1"/>
    </xf>
    <xf numFmtId="2" fontId="22" fillId="401" borderId="14" xfId="0" applyNumberFormat="1" applyFont="1" applyFill="1" applyBorder="1" applyAlignment="1">
      <alignment horizontal="center" wrapText="1"/>
    </xf>
    <xf numFmtId="2" fontId="22" fillId="302" borderId="13" xfId="0" applyNumberFormat="1" applyFont="1" applyFill="1" applyBorder="1" applyAlignment="1">
      <alignment horizontal="center" wrapText="1"/>
    </xf>
    <xf numFmtId="2" fontId="22" fillId="325" borderId="14" xfId="0" applyNumberFormat="1" applyFont="1" applyFill="1" applyBorder="1" applyAlignment="1">
      <alignment horizontal="center" wrapText="1"/>
    </xf>
    <xf numFmtId="2" fontId="22" fillId="444" borderId="14" xfId="0" applyNumberFormat="1" applyFont="1" applyFill="1" applyBorder="1" applyAlignment="1">
      <alignment horizontal="center" wrapText="1"/>
    </xf>
    <xf numFmtId="2" fontId="22" fillId="455" borderId="14" xfId="0" applyNumberFormat="1" applyFont="1" applyFill="1" applyBorder="1" applyAlignment="1">
      <alignment horizontal="center" wrapText="1"/>
    </xf>
    <xf numFmtId="2" fontId="22" fillId="236" borderId="14" xfId="0" applyNumberFormat="1" applyFont="1" applyFill="1" applyBorder="1" applyAlignment="1">
      <alignment horizontal="center" wrapText="1"/>
    </xf>
    <xf numFmtId="2" fontId="22" fillId="536" borderId="0" xfId="0" applyNumberFormat="1" applyFont="1" applyFill="1" applyBorder="1" applyAlignment="1">
      <alignment horizontal="center" wrapText="1"/>
    </xf>
    <xf numFmtId="2" fontId="22" fillId="402" borderId="14" xfId="0" applyNumberFormat="1" applyFont="1" applyFill="1" applyBorder="1" applyAlignment="1">
      <alignment horizontal="center" wrapText="1"/>
    </xf>
    <xf numFmtId="2" fontId="22" fillId="521" borderId="13" xfId="0" applyNumberFormat="1" applyFont="1" applyFill="1" applyBorder="1" applyAlignment="1">
      <alignment horizontal="center" wrapText="1"/>
    </xf>
    <xf numFmtId="2" fontId="22" fillId="406" borderId="14" xfId="0" applyNumberFormat="1" applyFont="1" applyFill="1" applyBorder="1" applyAlignment="1">
      <alignment horizontal="center" wrapText="1"/>
    </xf>
    <xf numFmtId="2" fontId="22" fillId="390" borderId="13" xfId="0" applyNumberFormat="1" applyFont="1" applyFill="1" applyBorder="1" applyAlignment="1">
      <alignment horizontal="center" wrapText="1"/>
    </xf>
    <xf numFmtId="2" fontId="22" fillId="530" borderId="14" xfId="0" applyNumberFormat="1" applyFont="1" applyFill="1" applyBorder="1" applyAlignment="1">
      <alignment horizontal="center" wrapText="1"/>
    </xf>
    <xf numFmtId="2" fontId="22" fillId="513" borderId="0" xfId="0" applyNumberFormat="1" applyFont="1" applyFill="1" applyBorder="1" applyAlignment="1">
      <alignment horizontal="center" wrapText="1"/>
    </xf>
    <xf numFmtId="2" fontId="22" fillId="359" borderId="14" xfId="0" applyNumberFormat="1" applyFont="1" applyFill="1" applyBorder="1" applyAlignment="1">
      <alignment horizontal="center" wrapText="1"/>
    </xf>
    <xf numFmtId="2" fontId="22" fillId="537" borderId="0" xfId="0" applyNumberFormat="1" applyFont="1" applyFill="1" applyBorder="1" applyAlignment="1">
      <alignment horizontal="center" wrapText="1"/>
    </xf>
    <xf numFmtId="2" fontId="22" fillId="512" borderId="0" xfId="0" applyNumberFormat="1" applyFont="1" applyFill="1" applyBorder="1" applyAlignment="1">
      <alignment horizontal="center" wrapText="1"/>
    </xf>
    <xf numFmtId="2" fontId="22" fillId="456" borderId="14" xfId="0" applyNumberFormat="1" applyFont="1" applyFill="1" applyBorder="1" applyAlignment="1">
      <alignment horizontal="center" wrapText="1"/>
    </xf>
    <xf numFmtId="2" fontId="22" fillId="534" borderId="0" xfId="0" applyNumberFormat="1" applyFont="1" applyFill="1" applyBorder="1" applyAlignment="1">
      <alignment horizontal="center" wrapText="1"/>
    </xf>
    <xf numFmtId="2" fontId="22" fillId="466" borderId="0" xfId="0" applyNumberFormat="1" applyFont="1" applyFill="1" applyBorder="1" applyAlignment="1">
      <alignment horizontal="center" wrapText="1"/>
    </xf>
    <xf numFmtId="2" fontId="22" fillId="440" borderId="14" xfId="0" applyNumberFormat="1" applyFont="1" applyFill="1" applyBorder="1" applyAlignment="1">
      <alignment horizontal="center" wrapText="1"/>
    </xf>
    <xf numFmtId="2" fontId="22" fillId="538" borderId="14" xfId="0" applyNumberFormat="1" applyFont="1" applyFill="1" applyBorder="1" applyAlignment="1">
      <alignment horizontal="center" wrapText="1"/>
    </xf>
    <xf numFmtId="2" fontId="22" fillId="259" borderId="14" xfId="0" applyNumberFormat="1" applyFont="1" applyFill="1" applyBorder="1" applyAlignment="1">
      <alignment horizontal="center" wrapText="1"/>
    </xf>
    <xf numFmtId="2" fontId="22" fillId="537" borderId="14" xfId="0" applyNumberFormat="1" applyFont="1" applyFill="1" applyBorder="1" applyAlignment="1">
      <alignment horizontal="center" wrapText="1"/>
    </xf>
    <xf numFmtId="2" fontId="22" fillId="406" borderId="0" xfId="0" applyNumberFormat="1" applyFont="1" applyFill="1" applyBorder="1" applyAlignment="1">
      <alignment horizontal="center" wrapText="1"/>
    </xf>
    <xf numFmtId="2" fontId="22" fillId="445" borderId="14" xfId="0" applyNumberFormat="1" applyFont="1" applyFill="1" applyBorder="1" applyAlignment="1">
      <alignment horizontal="center" wrapText="1"/>
    </xf>
    <xf numFmtId="2" fontId="22" fillId="491" borderId="0" xfId="0" applyNumberFormat="1" applyFont="1" applyFill="1" applyBorder="1" applyAlignment="1">
      <alignment horizontal="center" wrapText="1"/>
    </xf>
    <xf numFmtId="2" fontId="22" fillId="458" borderId="0" xfId="0" applyNumberFormat="1" applyFont="1" applyFill="1" applyBorder="1" applyAlignment="1">
      <alignment horizontal="center" wrapText="1"/>
    </xf>
    <xf numFmtId="2" fontId="22" fillId="403" borderId="13" xfId="0" applyNumberFormat="1" applyFont="1" applyFill="1" applyBorder="1" applyAlignment="1">
      <alignment horizontal="center" wrapText="1"/>
    </xf>
    <xf numFmtId="2" fontId="22" fillId="462" borderId="0" xfId="0" applyNumberFormat="1" applyFont="1" applyFill="1" applyBorder="1" applyAlignment="1">
      <alignment horizontal="center" wrapText="1"/>
    </xf>
    <xf numFmtId="2" fontId="22" fillId="439" borderId="14" xfId="0" applyNumberFormat="1" applyFont="1" applyFill="1" applyBorder="1" applyAlignment="1">
      <alignment horizontal="center" wrapText="1"/>
    </xf>
    <xf numFmtId="2" fontId="22" fillId="281" borderId="14" xfId="0" applyNumberFormat="1" applyFont="1" applyFill="1" applyBorder="1" applyAlignment="1">
      <alignment horizontal="center" wrapText="1"/>
    </xf>
    <xf numFmtId="2" fontId="22" fillId="535" borderId="0" xfId="0" applyNumberFormat="1" applyFont="1" applyFill="1" applyBorder="1" applyAlignment="1">
      <alignment horizontal="center" wrapText="1"/>
    </xf>
    <xf numFmtId="2" fontId="22" fillId="441" borderId="13" xfId="0" applyNumberFormat="1" applyFont="1" applyFill="1" applyBorder="1" applyAlignment="1">
      <alignment horizontal="center" wrapText="1"/>
    </xf>
    <xf numFmtId="2" fontId="22" fillId="446" borderId="0" xfId="0" applyNumberFormat="1" applyFont="1" applyFill="1" applyBorder="1" applyAlignment="1">
      <alignment horizontal="center" wrapText="1"/>
    </xf>
    <xf numFmtId="2" fontId="22" fillId="505" borderId="0" xfId="0" applyNumberFormat="1" applyFont="1" applyFill="1" applyBorder="1" applyAlignment="1">
      <alignment horizontal="center" wrapText="1"/>
    </xf>
    <xf numFmtId="2" fontId="22" fillId="449" borderId="14" xfId="0" applyNumberFormat="1" applyFont="1" applyFill="1" applyBorder="1" applyAlignment="1">
      <alignment horizontal="center" wrapText="1"/>
    </xf>
    <xf numFmtId="2" fontId="22" fillId="439" borderId="0" xfId="0" applyNumberFormat="1" applyFont="1" applyFill="1" applyBorder="1" applyAlignment="1">
      <alignment horizontal="center" wrapText="1"/>
    </xf>
    <xf numFmtId="2" fontId="22" fillId="512" borderId="14" xfId="0" applyNumberFormat="1" applyFont="1" applyFill="1" applyBorder="1" applyAlignment="1">
      <alignment horizontal="center" wrapText="1"/>
    </xf>
    <xf numFmtId="2" fontId="22" fillId="511" borderId="14" xfId="0" applyNumberFormat="1" applyFont="1" applyFill="1" applyBorder="1" applyAlignment="1">
      <alignment horizontal="center" wrapText="1"/>
    </xf>
    <xf numFmtId="2" fontId="22" fillId="455" borderId="0" xfId="0" applyNumberFormat="1" applyFont="1" applyFill="1" applyBorder="1" applyAlignment="1">
      <alignment horizontal="center" wrapText="1"/>
    </xf>
    <xf numFmtId="2" fontId="22" fillId="499" borderId="14" xfId="0" applyNumberFormat="1" applyFont="1" applyFill="1" applyBorder="1" applyAlignment="1">
      <alignment horizontal="center" wrapText="1"/>
    </xf>
    <xf numFmtId="2" fontId="22" fillId="325" borderId="0" xfId="0" applyNumberFormat="1" applyFont="1" applyFill="1" applyBorder="1" applyAlignment="1">
      <alignment horizontal="center" wrapText="1"/>
    </xf>
    <xf numFmtId="2" fontId="22" fillId="431" borderId="0" xfId="0" applyNumberFormat="1" applyFont="1" applyFill="1" applyBorder="1" applyAlignment="1">
      <alignment horizontal="center" wrapText="1"/>
    </xf>
    <xf numFmtId="2" fontId="22" fillId="394" borderId="14" xfId="0" applyNumberFormat="1" applyFont="1" applyFill="1" applyBorder="1" applyAlignment="1">
      <alignment horizontal="center" wrapText="1"/>
    </xf>
    <xf numFmtId="2" fontId="22" fillId="523" borderId="14" xfId="0" applyNumberFormat="1" applyFont="1" applyFill="1" applyBorder="1" applyAlignment="1">
      <alignment horizontal="center" wrapText="1"/>
    </xf>
    <xf numFmtId="2" fontId="22" fillId="527" borderId="0" xfId="0" applyNumberFormat="1" applyFont="1" applyFill="1" applyBorder="1" applyAlignment="1">
      <alignment horizontal="center" wrapText="1"/>
    </xf>
    <xf numFmtId="2" fontId="22" fillId="408" borderId="0" xfId="0" applyNumberFormat="1" applyFont="1" applyFill="1" applyBorder="1" applyAlignment="1">
      <alignment horizontal="center" wrapText="1"/>
    </xf>
    <xf numFmtId="2" fontId="22" fillId="354" borderId="14" xfId="0" applyNumberFormat="1" applyFont="1" applyFill="1" applyBorder="1" applyAlignment="1">
      <alignment horizontal="center" wrapText="1"/>
    </xf>
    <xf numFmtId="2" fontId="22" fillId="526" borderId="0" xfId="0" applyNumberFormat="1" applyFont="1" applyFill="1" applyBorder="1" applyAlignment="1">
      <alignment horizontal="center" wrapText="1"/>
    </xf>
    <xf numFmtId="2" fontId="22" fillId="420" borderId="14" xfId="0" applyNumberFormat="1" applyFont="1" applyFill="1" applyBorder="1" applyAlignment="1">
      <alignment horizontal="center" wrapText="1"/>
    </xf>
    <xf numFmtId="2" fontId="22" fillId="311" borderId="14" xfId="0" applyNumberFormat="1" applyFont="1" applyFill="1" applyBorder="1" applyAlignment="1">
      <alignment horizontal="center" wrapText="1"/>
    </xf>
    <xf numFmtId="2" fontId="22" fillId="547" borderId="0" xfId="0" applyNumberFormat="1" applyFont="1" applyFill="1" applyBorder="1" applyAlignment="1">
      <alignment horizontal="center" wrapText="1"/>
    </xf>
    <xf numFmtId="2" fontId="22" fillId="427" borderId="14" xfId="0" applyNumberFormat="1" applyFont="1" applyFill="1" applyBorder="1" applyAlignment="1">
      <alignment horizontal="center" wrapText="1"/>
    </xf>
    <xf numFmtId="2" fontId="22" fillId="279" borderId="0" xfId="0" applyNumberFormat="1" applyFont="1" applyFill="1" applyBorder="1" applyAlignment="1">
      <alignment horizontal="center" wrapText="1"/>
    </xf>
    <xf numFmtId="2" fontId="22" fillId="507" borderId="0" xfId="0" applyNumberFormat="1" applyFont="1" applyFill="1" applyBorder="1" applyAlignment="1">
      <alignment horizontal="center" wrapText="1"/>
    </xf>
    <xf numFmtId="2" fontId="22" fillId="516" borderId="13" xfId="0" applyNumberFormat="1" applyFont="1" applyFill="1" applyBorder="1" applyAlignment="1">
      <alignment horizontal="center" wrapText="1"/>
    </xf>
    <xf numFmtId="2" fontId="22" fillId="487" borderId="14" xfId="0" applyNumberFormat="1" applyFont="1" applyFill="1" applyBorder="1" applyAlignment="1">
      <alignment horizontal="center" wrapText="1"/>
    </xf>
    <xf numFmtId="2" fontId="22" fillId="195" borderId="14" xfId="0" applyNumberFormat="1" applyFont="1" applyFill="1" applyBorder="1" applyAlignment="1">
      <alignment horizontal="center" wrapText="1"/>
    </xf>
    <xf numFmtId="2" fontId="22" fillId="445" borderId="13" xfId="0" applyNumberFormat="1" applyFont="1" applyFill="1" applyBorder="1" applyAlignment="1">
      <alignment horizontal="center" wrapText="1"/>
    </xf>
    <xf numFmtId="2" fontId="22" fillId="72" borderId="14" xfId="0" applyNumberFormat="1" applyFont="1" applyFill="1" applyBorder="1" applyAlignment="1">
      <alignment horizontal="center" wrapText="1"/>
    </xf>
    <xf numFmtId="2" fontId="22" fillId="148" borderId="14" xfId="0" applyNumberFormat="1" applyFont="1" applyFill="1" applyBorder="1" applyAlignment="1">
      <alignment horizontal="center" wrapText="1"/>
    </xf>
    <xf numFmtId="2" fontId="22" fillId="296" borderId="14" xfId="0" applyNumberFormat="1" applyFont="1" applyFill="1" applyBorder="1" applyAlignment="1">
      <alignment horizontal="center" wrapText="1"/>
    </xf>
    <xf numFmtId="2" fontId="22" fillId="194" borderId="14" xfId="0" applyNumberFormat="1" applyFont="1" applyFill="1" applyBorder="1" applyAlignment="1">
      <alignment horizontal="center" wrapText="1"/>
    </xf>
    <xf numFmtId="2" fontId="22" fillId="405" borderId="13" xfId="0" applyNumberFormat="1" applyFont="1" applyFill="1" applyBorder="1" applyAlignment="1">
      <alignment horizontal="center" wrapText="1"/>
    </xf>
    <xf numFmtId="2" fontId="22" fillId="497" borderId="14" xfId="0" applyNumberFormat="1" applyFont="1" applyFill="1" applyBorder="1" applyAlignment="1">
      <alignment horizontal="center" wrapText="1"/>
    </xf>
    <xf numFmtId="2" fontId="22" fillId="284" borderId="14" xfId="0" applyNumberFormat="1" applyFont="1" applyFill="1" applyBorder="1" applyAlignment="1">
      <alignment horizontal="center" wrapText="1"/>
    </xf>
    <xf numFmtId="2" fontId="22" fillId="495" borderId="14" xfId="0" applyNumberFormat="1" applyFont="1" applyFill="1" applyBorder="1" applyAlignment="1">
      <alignment horizontal="center" wrapText="1"/>
    </xf>
    <xf numFmtId="2" fontId="22" fillId="490" borderId="14" xfId="0" applyNumberFormat="1" applyFont="1" applyFill="1" applyBorder="1" applyAlignment="1">
      <alignment horizontal="center" wrapText="1"/>
    </xf>
    <xf numFmtId="2" fontId="22" fillId="362" borderId="14" xfId="0" applyNumberFormat="1" applyFont="1" applyFill="1" applyBorder="1" applyAlignment="1">
      <alignment horizontal="center" wrapText="1"/>
    </xf>
    <xf numFmtId="2" fontId="22" fillId="280" borderId="14" xfId="0" applyNumberFormat="1" applyFont="1" applyFill="1" applyBorder="1" applyAlignment="1">
      <alignment horizontal="center" wrapText="1"/>
    </xf>
    <xf numFmtId="2" fontId="22" fillId="347" borderId="14" xfId="0" applyNumberFormat="1" applyFont="1" applyFill="1" applyBorder="1" applyAlignment="1">
      <alignment horizontal="center" wrapText="1"/>
    </xf>
    <xf numFmtId="2" fontId="22" fillId="217" borderId="14" xfId="0" applyNumberFormat="1" applyFont="1" applyFill="1" applyBorder="1" applyAlignment="1">
      <alignment horizontal="center" wrapText="1"/>
    </xf>
    <xf numFmtId="2" fontId="22" fillId="317" borderId="14" xfId="0" applyNumberFormat="1" applyFont="1" applyFill="1" applyBorder="1" applyAlignment="1">
      <alignment horizontal="center" wrapText="1"/>
    </xf>
    <xf numFmtId="2" fontId="22" fillId="109" borderId="14" xfId="0" applyNumberFormat="1" applyFont="1" applyFill="1" applyBorder="1" applyAlignment="1">
      <alignment horizontal="center" wrapText="1"/>
    </xf>
    <xf numFmtId="2" fontId="22" fillId="173" borderId="13" xfId="0" applyNumberFormat="1" applyFont="1" applyFill="1" applyBorder="1" applyAlignment="1">
      <alignment horizontal="center" wrapText="1"/>
    </xf>
    <xf numFmtId="2" fontId="22" fillId="132" borderId="14" xfId="0" applyNumberFormat="1" applyFont="1" applyFill="1" applyBorder="1" applyAlignment="1">
      <alignment horizontal="center" wrapText="1"/>
    </xf>
    <xf numFmtId="2" fontId="22" fillId="94" borderId="14" xfId="0" applyNumberFormat="1" applyFont="1" applyFill="1" applyBorder="1" applyAlignment="1">
      <alignment horizontal="center" wrapText="1"/>
    </xf>
    <xf numFmtId="2" fontId="22" fillId="226" borderId="13" xfId="0" applyNumberFormat="1" applyFont="1" applyFill="1" applyBorder="1" applyAlignment="1">
      <alignment horizontal="center" wrapText="1"/>
    </xf>
    <xf numFmtId="2" fontId="22" fillId="152" borderId="13" xfId="0" applyNumberFormat="1" applyFont="1" applyFill="1" applyBorder="1" applyAlignment="1">
      <alignment horizontal="center" wrapText="1"/>
    </xf>
    <xf numFmtId="2" fontId="22" fillId="391" borderId="14" xfId="0" applyNumberFormat="1" applyFont="1" applyFill="1" applyBorder="1" applyAlignment="1">
      <alignment horizontal="center" wrapText="1"/>
    </xf>
    <xf numFmtId="2" fontId="22" fillId="273" borderId="13" xfId="0" applyNumberFormat="1" applyFont="1" applyFill="1" applyBorder="1" applyAlignment="1">
      <alignment horizontal="center" wrapText="1"/>
    </xf>
    <xf numFmtId="2" fontId="22" fillId="387" borderId="14" xfId="0" applyNumberFormat="1" applyFont="1" applyFill="1" applyBorder="1" applyAlignment="1">
      <alignment horizontal="center" wrapText="1"/>
    </xf>
    <xf numFmtId="2" fontId="22" fillId="493" borderId="13" xfId="0" applyNumberFormat="1" applyFont="1" applyFill="1" applyBorder="1" applyAlignment="1">
      <alignment horizontal="center" wrapText="1"/>
    </xf>
    <xf numFmtId="2" fontId="22" fillId="523" borderId="0" xfId="0" applyNumberFormat="1" applyFont="1" applyFill="1" applyBorder="1" applyAlignment="1">
      <alignment horizontal="center" wrapText="1"/>
    </xf>
    <xf numFmtId="2" fontId="22" fillId="242" borderId="13" xfId="0" applyNumberFormat="1" applyFont="1" applyFill="1" applyBorder="1" applyAlignment="1">
      <alignment horizontal="center" wrapText="1"/>
    </xf>
    <xf numFmtId="2" fontId="22" fillId="274" borderId="14" xfId="0" applyNumberFormat="1" applyFont="1" applyFill="1" applyBorder="1" applyAlignment="1">
      <alignment horizontal="center" wrapText="1"/>
    </xf>
    <xf numFmtId="2" fontId="22" fillId="358" borderId="13" xfId="0" applyNumberFormat="1" applyFont="1" applyFill="1" applyBorder="1" applyAlignment="1">
      <alignment horizontal="center" wrapText="1"/>
    </xf>
    <xf numFmtId="2" fontId="22" fillId="244" borderId="13" xfId="0" applyNumberFormat="1" applyFont="1" applyFill="1" applyBorder="1" applyAlignment="1">
      <alignment horizontal="center" wrapText="1"/>
    </xf>
    <xf numFmtId="2" fontId="22" fillId="304" borderId="13" xfId="0" applyNumberFormat="1" applyFont="1" applyFill="1" applyBorder="1" applyAlignment="1">
      <alignment horizontal="center" wrapText="1"/>
    </xf>
    <xf numFmtId="2" fontId="22" fillId="241" borderId="13" xfId="0" applyNumberFormat="1" applyFont="1" applyFill="1" applyBorder="1" applyAlignment="1">
      <alignment horizontal="center" wrapText="1"/>
    </xf>
    <xf numFmtId="2" fontId="22" fillId="440" borderId="13" xfId="0" applyNumberFormat="1" applyFont="1" applyFill="1" applyBorder="1" applyAlignment="1">
      <alignment horizontal="center" wrapText="1"/>
    </xf>
    <xf numFmtId="2" fontId="22" fillId="268" borderId="0" xfId="0" applyNumberFormat="1" applyFont="1" applyFill="1" applyBorder="1" applyAlignment="1">
      <alignment horizontal="center" wrapText="1"/>
    </xf>
    <xf numFmtId="2" fontId="22" fillId="439" borderId="13" xfId="0" applyNumberFormat="1" applyFont="1" applyFill="1" applyBorder="1" applyAlignment="1">
      <alignment horizontal="center" wrapText="1"/>
    </xf>
    <xf numFmtId="2" fontId="22" fillId="402" borderId="13" xfId="0" applyNumberFormat="1" applyFont="1" applyFill="1" applyBorder="1" applyAlignment="1">
      <alignment horizontal="center" wrapText="1"/>
    </xf>
    <xf numFmtId="2" fontId="22" fillId="236" borderId="13" xfId="0" applyNumberFormat="1" applyFont="1" applyFill="1" applyBorder="1" applyAlignment="1">
      <alignment horizontal="center" wrapText="1"/>
    </xf>
    <xf numFmtId="2" fontId="22" fillId="191" borderId="13" xfId="0" applyNumberFormat="1" applyFont="1" applyFill="1" applyBorder="1" applyAlignment="1">
      <alignment horizontal="center" wrapText="1"/>
    </xf>
    <xf numFmtId="2" fontId="22" fillId="305" borderId="13" xfId="0" applyNumberFormat="1" applyFont="1" applyFill="1" applyBorder="1" applyAlignment="1">
      <alignment horizontal="center" wrapText="1"/>
    </xf>
    <xf numFmtId="2" fontId="22" fillId="354" borderId="13" xfId="0" applyNumberFormat="1" applyFont="1" applyFill="1" applyBorder="1" applyAlignment="1">
      <alignment horizontal="center" wrapText="1"/>
    </xf>
    <xf numFmtId="2" fontId="22" fillId="422" borderId="14" xfId="0" applyNumberFormat="1" applyFont="1" applyFill="1" applyBorder="1" applyAlignment="1">
      <alignment horizontal="center" wrapText="1"/>
    </xf>
    <xf numFmtId="2" fontId="22" fillId="459" borderId="0" xfId="0" applyNumberFormat="1" applyFont="1" applyFill="1" applyBorder="1" applyAlignment="1">
      <alignment horizontal="center" wrapText="1"/>
    </xf>
    <xf numFmtId="2" fontId="22" fillId="180" borderId="13" xfId="0" applyNumberFormat="1" applyFont="1" applyFill="1" applyBorder="1" applyAlignment="1">
      <alignment horizontal="center" wrapText="1"/>
    </xf>
    <xf numFmtId="2" fontId="22" fillId="525" borderId="14" xfId="0" applyNumberFormat="1" applyFont="1" applyFill="1" applyBorder="1" applyAlignment="1">
      <alignment horizontal="center" wrapText="1"/>
    </xf>
    <xf numFmtId="2" fontId="22" fillId="531" borderId="0" xfId="0" applyNumberFormat="1" applyFont="1" applyFill="1" applyBorder="1" applyAlignment="1">
      <alignment horizontal="center" wrapText="1"/>
    </xf>
    <xf numFmtId="2" fontId="22" fillId="228" borderId="13" xfId="0" applyNumberFormat="1" applyFont="1" applyFill="1" applyBorder="1" applyAlignment="1">
      <alignment horizontal="center" wrapText="1"/>
    </xf>
    <xf numFmtId="2" fontId="22" fillId="230" borderId="13" xfId="0" applyNumberFormat="1" applyFont="1" applyFill="1" applyBorder="1" applyAlignment="1">
      <alignment horizontal="center" wrapText="1"/>
    </xf>
    <xf numFmtId="2" fontId="22" fillId="430" borderId="14" xfId="0" applyNumberFormat="1" applyFont="1" applyFill="1" applyBorder="1" applyAlignment="1">
      <alignment horizontal="center" wrapText="1"/>
    </xf>
    <xf numFmtId="2" fontId="22" fillId="365" borderId="13" xfId="0" applyNumberFormat="1" applyFont="1" applyFill="1" applyBorder="1" applyAlignment="1">
      <alignment horizontal="center" wrapText="1"/>
    </xf>
    <xf numFmtId="2" fontId="22" fillId="398" borderId="13" xfId="0" applyNumberFormat="1" applyFont="1" applyFill="1" applyBorder="1" applyAlignment="1">
      <alignment horizontal="center" wrapText="1"/>
    </xf>
    <xf numFmtId="2" fontId="22" fillId="539" borderId="0" xfId="0" applyNumberFormat="1" applyFont="1" applyFill="1" applyBorder="1" applyAlignment="1">
      <alignment horizontal="center" wrapText="1"/>
    </xf>
    <xf numFmtId="2" fontId="22" fillId="122" borderId="13" xfId="0" applyNumberFormat="1" applyFont="1" applyFill="1" applyBorder="1" applyAlignment="1">
      <alignment horizontal="center" wrapText="1"/>
    </xf>
    <xf numFmtId="2" fontId="22" fillId="536" borderId="13" xfId="0" applyNumberFormat="1" applyFont="1" applyFill="1" applyBorder="1" applyAlignment="1">
      <alignment horizontal="center" wrapText="1"/>
    </xf>
    <xf numFmtId="2" fontId="22" fillId="311" borderId="13" xfId="0" applyNumberFormat="1" applyFont="1" applyFill="1" applyBorder="1" applyAlignment="1">
      <alignment horizontal="center" wrapText="1"/>
    </xf>
    <xf numFmtId="2" fontId="22" fillId="343" borderId="13" xfId="0" applyNumberFormat="1" applyFont="1" applyFill="1" applyBorder="1" applyAlignment="1">
      <alignment horizontal="center" wrapText="1"/>
    </xf>
    <xf numFmtId="2" fontId="22" fillId="366" borderId="13" xfId="0" applyNumberFormat="1" applyFont="1" applyFill="1" applyBorder="1" applyAlignment="1">
      <alignment horizontal="center" wrapText="1"/>
    </xf>
    <xf numFmtId="2" fontId="22" fillId="398" borderId="0" xfId="0" applyNumberFormat="1" applyFont="1" applyFill="1" applyBorder="1" applyAlignment="1">
      <alignment horizontal="center" wrapText="1"/>
    </xf>
    <xf numFmtId="2" fontId="22" fillId="538" borderId="0" xfId="0" applyNumberFormat="1" applyFont="1" applyFill="1" applyBorder="1" applyAlignment="1">
      <alignment horizontal="center" wrapText="1"/>
    </xf>
    <xf numFmtId="2" fontId="22" fillId="200" borderId="14" xfId="0" applyNumberFormat="1" applyFont="1" applyFill="1" applyBorder="1" applyAlignment="1">
      <alignment horizontal="center" wrapText="1"/>
    </xf>
    <xf numFmtId="2" fontId="22" fillId="300" borderId="13" xfId="0" applyNumberFormat="1" applyFont="1" applyFill="1" applyBorder="1" applyAlignment="1">
      <alignment horizontal="center" wrapText="1"/>
    </xf>
    <xf numFmtId="2" fontId="22" fillId="281" borderId="13" xfId="0" applyNumberFormat="1" applyFont="1" applyFill="1" applyBorder="1" applyAlignment="1">
      <alignment horizontal="center" wrapText="1"/>
    </xf>
    <xf numFmtId="2" fontId="22" fillId="475" borderId="14" xfId="0" applyNumberFormat="1" applyFont="1" applyFill="1" applyBorder="1" applyAlignment="1">
      <alignment horizontal="center" wrapText="1"/>
    </xf>
    <xf numFmtId="2" fontId="22" fillId="322" borderId="13" xfId="0" applyNumberFormat="1" applyFont="1" applyFill="1" applyBorder="1" applyAlignment="1">
      <alignment horizontal="center" wrapText="1"/>
    </xf>
    <xf numFmtId="2" fontId="22" fillId="286" borderId="13" xfId="0" applyNumberFormat="1" applyFont="1" applyFill="1" applyBorder="1" applyAlignment="1">
      <alignment horizontal="center" wrapText="1"/>
    </xf>
    <xf numFmtId="2" fontId="22" fillId="372" borderId="14" xfId="0" applyNumberFormat="1" applyFont="1" applyFill="1" applyBorder="1" applyAlignment="1">
      <alignment horizontal="center" wrapText="1"/>
    </xf>
    <xf numFmtId="2" fontId="22" fillId="359" borderId="13" xfId="0" applyNumberFormat="1" applyFont="1" applyFill="1" applyBorder="1" applyAlignment="1">
      <alignment horizontal="center" wrapText="1"/>
    </xf>
    <xf numFmtId="2" fontId="22" fillId="541" borderId="0" xfId="0" applyNumberFormat="1" applyFont="1" applyFill="1" applyBorder="1" applyAlignment="1">
      <alignment horizontal="center" wrapText="1"/>
    </xf>
    <xf numFmtId="2" fontId="22" fillId="534" borderId="13" xfId="0" applyNumberFormat="1" applyFont="1" applyFill="1" applyBorder="1" applyAlignment="1">
      <alignment horizontal="center" wrapText="1"/>
    </xf>
    <xf numFmtId="2" fontId="22" fillId="431" borderId="13" xfId="0" applyNumberFormat="1" applyFont="1" applyFill="1" applyBorder="1" applyAlignment="1">
      <alignment horizontal="center" wrapText="1"/>
    </xf>
    <xf numFmtId="2" fontId="22" fillId="537" borderId="13" xfId="0" applyNumberFormat="1" applyFont="1" applyFill="1" applyBorder="1" applyAlignment="1">
      <alignment horizontal="center" wrapText="1"/>
    </xf>
    <xf numFmtId="2" fontId="22" fillId="426" borderId="0" xfId="0" applyNumberFormat="1" applyFont="1" applyFill="1" applyBorder="1" applyAlignment="1">
      <alignment horizontal="center" wrapText="1"/>
    </xf>
    <xf numFmtId="2" fontId="22" fillId="530" borderId="13" xfId="0" applyNumberFormat="1" applyFont="1" applyFill="1" applyBorder="1" applyAlignment="1">
      <alignment horizontal="center" wrapText="1"/>
    </xf>
    <xf numFmtId="2" fontId="22" fillId="346" borderId="14" xfId="0" applyNumberFormat="1" applyFont="1" applyFill="1" applyBorder="1" applyAlignment="1">
      <alignment horizontal="center" wrapText="1"/>
    </xf>
    <xf numFmtId="2" fontId="22" fillId="427" borderId="0" xfId="0" applyNumberFormat="1" applyFont="1" applyFill="1" applyBorder="1" applyAlignment="1">
      <alignment horizontal="center" wrapText="1"/>
    </xf>
    <xf numFmtId="2" fontId="22" fillId="416" borderId="0" xfId="0" applyNumberFormat="1" applyFont="1" applyFill="1" applyBorder="1" applyAlignment="1">
      <alignment horizontal="center" wrapText="1"/>
    </xf>
    <xf numFmtId="2" fontId="22" fillId="327" borderId="13" xfId="0" applyNumberFormat="1" applyFont="1" applyFill="1" applyBorder="1" applyAlignment="1">
      <alignment horizontal="center" wrapText="1"/>
    </xf>
    <xf numFmtId="2" fontId="22" fillId="241" borderId="14" xfId="0" applyNumberFormat="1" applyFont="1" applyFill="1" applyBorder="1" applyAlignment="1">
      <alignment horizontal="center" wrapText="1"/>
    </xf>
    <xf numFmtId="2" fontId="22" fillId="294" borderId="13" xfId="0" applyNumberFormat="1" applyFont="1" applyFill="1" applyBorder="1" applyAlignment="1">
      <alignment horizontal="center" wrapText="1"/>
    </xf>
    <xf numFmtId="2" fontId="22" fillId="456" borderId="13" xfId="0" applyNumberFormat="1" applyFont="1" applyFill="1" applyBorder="1" applyAlignment="1">
      <alignment horizontal="center" wrapText="1"/>
    </xf>
    <xf numFmtId="2" fontId="22" fillId="432" borderId="13" xfId="0" applyNumberFormat="1" applyFont="1" applyFill="1" applyBorder="1" applyAlignment="1">
      <alignment horizontal="center" wrapText="1"/>
    </xf>
    <xf numFmtId="2" fontId="22" fillId="400" borderId="13" xfId="0" applyNumberFormat="1" applyFont="1" applyFill="1" applyBorder="1" applyAlignment="1">
      <alignment horizontal="center" wrapText="1"/>
    </xf>
    <xf numFmtId="2" fontId="22" fillId="524" borderId="13" xfId="0" applyNumberFormat="1" applyFont="1" applyFill="1" applyBorder="1" applyAlignment="1">
      <alignment horizontal="center" wrapText="1"/>
    </xf>
    <xf numFmtId="2" fontId="22" fillId="406" borderId="13" xfId="0" applyNumberFormat="1" applyFont="1" applyFill="1" applyBorder="1" applyAlignment="1">
      <alignment horizontal="center" wrapText="1"/>
    </xf>
    <xf numFmtId="2" fontId="22" fillId="353" borderId="13" xfId="0" applyNumberFormat="1" applyFont="1" applyFill="1" applyBorder="1" applyAlignment="1">
      <alignment horizontal="center" wrapText="1"/>
    </xf>
    <xf numFmtId="2" fontId="22" fillId="492" borderId="13" xfId="0" applyNumberFormat="1" applyFont="1" applyFill="1" applyBorder="1" applyAlignment="1">
      <alignment horizontal="center" wrapText="1"/>
    </xf>
    <xf numFmtId="2" fontId="22" fillId="227" borderId="13" xfId="0" applyNumberFormat="1" applyFont="1" applyFill="1" applyBorder="1" applyAlignment="1">
      <alignment horizontal="center" wrapText="1"/>
    </xf>
    <xf numFmtId="2" fontId="22" fillId="452" borderId="0" xfId="0" applyNumberFormat="1" applyFont="1" applyFill="1" applyBorder="1" applyAlignment="1">
      <alignment horizontal="center" wrapText="1"/>
    </xf>
    <xf numFmtId="2" fontId="22" fillId="471" borderId="13" xfId="0" applyNumberFormat="1" applyFont="1" applyFill="1" applyBorder="1" applyAlignment="1">
      <alignment horizontal="center" wrapText="1"/>
    </xf>
    <xf numFmtId="2" fontId="22" fillId="532" borderId="0" xfId="0" applyNumberFormat="1" applyFont="1" applyFill="1" applyBorder="1" applyAlignment="1">
      <alignment horizontal="center" wrapText="1"/>
    </xf>
    <xf numFmtId="2" fontId="22" fillId="520" borderId="13" xfId="0" applyNumberFormat="1" applyFont="1" applyFill="1" applyBorder="1" applyAlignment="1">
      <alignment horizontal="center" wrapText="1"/>
    </xf>
    <xf numFmtId="2" fontId="22" fillId="455" borderId="13" xfId="0" applyNumberFormat="1" applyFont="1" applyFill="1" applyBorder="1" applyAlignment="1">
      <alignment horizontal="center" wrapText="1"/>
    </xf>
    <xf numFmtId="2" fontId="22" fillId="248" borderId="13" xfId="0" applyNumberFormat="1" applyFont="1" applyFill="1" applyBorder="1" applyAlignment="1">
      <alignment horizontal="center" wrapText="1"/>
    </xf>
    <xf numFmtId="2" fontId="22" fillId="440" borderId="0" xfId="0" applyNumberFormat="1" applyFont="1" applyFill="1" applyBorder="1" applyAlignment="1">
      <alignment horizontal="center" wrapText="1"/>
    </xf>
    <xf numFmtId="2" fontId="22" fillId="506" borderId="13" xfId="0" applyNumberFormat="1" applyFont="1" applyFill="1" applyBorder="1" applyAlignment="1">
      <alignment horizontal="center" wrapText="1"/>
    </xf>
    <xf numFmtId="2" fontId="22" fillId="401" borderId="13" xfId="0" applyNumberFormat="1" applyFont="1" applyFill="1" applyBorder="1" applyAlignment="1">
      <alignment horizontal="center" wrapText="1"/>
    </xf>
    <xf numFmtId="2" fontId="22" fillId="448" borderId="13" xfId="0" applyNumberFormat="1" applyFont="1" applyFill="1" applyBorder="1" applyAlignment="1">
      <alignment horizontal="center" wrapText="1"/>
    </xf>
    <xf numFmtId="2" fontId="22" fillId="512" borderId="13" xfId="0" applyNumberFormat="1" applyFont="1" applyFill="1" applyBorder="1" applyAlignment="1">
      <alignment horizontal="center" wrapText="1"/>
    </xf>
    <xf numFmtId="2" fontId="22" fillId="460" borderId="13" xfId="0" applyNumberFormat="1" applyFont="1" applyFill="1" applyBorder="1" applyAlignment="1">
      <alignment horizontal="center" wrapText="1"/>
    </xf>
    <xf numFmtId="2" fontId="22" fillId="407" borderId="13" xfId="0" applyNumberFormat="1" applyFont="1" applyFill="1" applyBorder="1" applyAlignment="1">
      <alignment horizontal="center" wrapText="1"/>
    </xf>
    <xf numFmtId="2" fontId="22" fillId="506" borderId="0" xfId="0" applyNumberFormat="1" applyFont="1" applyFill="1" applyBorder="1" applyAlignment="1">
      <alignment horizontal="center" wrapText="1"/>
    </xf>
    <xf numFmtId="0" fontId="0" fillId="0" borderId="14" xfId="0" applyFill="1" applyBorder="1"/>
    <xf numFmtId="2" fontId="22" fillId="41" borderId="10" xfId="0" applyNumberFormat="1" applyFont="1" applyFill="1" applyBorder="1" applyAlignment="1">
      <alignment horizontal="center" wrapText="1"/>
    </xf>
    <xf numFmtId="2" fontId="22" fillId="45" borderId="12" xfId="0" applyNumberFormat="1" applyFont="1" applyFill="1" applyBorder="1" applyAlignment="1">
      <alignment horizontal="center" wrapText="1"/>
    </xf>
    <xf numFmtId="2" fontId="22" fillId="52" borderId="10" xfId="0" applyNumberFormat="1" applyFont="1" applyFill="1" applyBorder="1" applyAlignment="1">
      <alignment horizontal="center" wrapText="1"/>
    </xf>
    <xf numFmtId="2" fontId="22" fillId="60" borderId="10" xfId="0" applyNumberFormat="1" applyFont="1" applyFill="1" applyBorder="1" applyAlignment="1">
      <alignment horizontal="center" wrapText="1"/>
    </xf>
    <xf numFmtId="2" fontId="22" fillId="64" borderId="12" xfId="0" applyNumberFormat="1" applyFont="1" applyFill="1" applyBorder="1" applyAlignment="1">
      <alignment horizontal="center" wrapText="1"/>
    </xf>
    <xf numFmtId="2" fontId="22" fillId="69" borderId="10" xfId="0" applyNumberFormat="1" applyFont="1" applyFill="1" applyBorder="1" applyAlignment="1">
      <alignment horizontal="center" wrapText="1"/>
    </xf>
    <xf numFmtId="2" fontId="22" fillId="44" borderId="12" xfId="0" applyNumberFormat="1" applyFont="1" applyFill="1" applyBorder="1" applyAlignment="1">
      <alignment horizontal="center" wrapText="1"/>
    </xf>
    <xf numFmtId="2" fontId="22" fillId="79" borderId="10" xfId="0" applyNumberFormat="1" applyFont="1" applyFill="1" applyBorder="1" applyAlignment="1">
      <alignment horizontal="center" wrapText="1"/>
    </xf>
    <xf numFmtId="2" fontId="22" fillId="83" borderId="12" xfId="0" applyNumberFormat="1" applyFont="1" applyFill="1" applyBorder="1" applyAlignment="1">
      <alignment horizontal="center" wrapText="1"/>
    </xf>
    <xf numFmtId="2" fontId="22" fillId="90" borderId="10" xfId="0" applyNumberFormat="1" applyFont="1" applyFill="1" applyBorder="1" applyAlignment="1">
      <alignment horizontal="center" wrapText="1"/>
    </xf>
    <xf numFmtId="2" fontId="22" fillId="94" borderId="12" xfId="0" applyNumberFormat="1" applyFont="1" applyFill="1" applyBorder="1" applyAlignment="1">
      <alignment horizontal="center" wrapText="1"/>
    </xf>
    <xf numFmtId="2" fontId="22" fillId="75" borderId="10" xfId="0" applyNumberFormat="1" applyFont="1" applyFill="1" applyBorder="1" applyAlignment="1">
      <alignment horizontal="center" wrapText="1"/>
    </xf>
    <xf numFmtId="2" fontId="22" fillId="102" borderId="12" xfId="0" applyNumberFormat="1" applyFont="1" applyFill="1" applyBorder="1" applyAlignment="1">
      <alignment horizontal="center" wrapText="1"/>
    </xf>
    <xf numFmtId="2" fontId="22" fillId="43" borderId="10" xfId="0" applyNumberFormat="1" applyFont="1" applyFill="1" applyBorder="1" applyAlignment="1">
      <alignment horizontal="center" wrapText="1"/>
    </xf>
    <xf numFmtId="2" fontId="22" fillId="110" borderId="12" xfId="0" applyNumberFormat="1" applyFont="1" applyFill="1" applyBorder="1" applyAlignment="1">
      <alignment horizontal="center" wrapText="1"/>
    </xf>
    <xf numFmtId="2" fontId="22" fillId="114" borderId="10" xfId="0" applyNumberFormat="1" applyFont="1" applyFill="1" applyBorder="1" applyAlignment="1">
      <alignment horizontal="center" wrapText="1"/>
    </xf>
    <xf numFmtId="2" fontId="22" fillId="119" borderId="12" xfId="0" applyNumberFormat="1" applyFont="1" applyFill="1" applyBorder="1" applyAlignment="1">
      <alignment horizontal="center" wrapText="1"/>
    </xf>
    <xf numFmtId="2" fontId="22" fillId="121" borderId="10" xfId="0" applyNumberFormat="1" applyFont="1" applyFill="1" applyBorder="1" applyAlignment="1">
      <alignment horizontal="center" wrapText="1"/>
    </xf>
    <xf numFmtId="2" fontId="22" fillId="124" borderId="12" xfId="0" applyNumberFormat="1" applyFont="1" applyFill="1" applyBorder="1" applyAlignment="1">
      <alignment horizontal="center" wrapText="1"/>
    </xf>
    <xf numFmtId="2" fontId="22" fillId="127" borderId="10" xfId="0" applyNumberFormat="1" applyFont="1" applyFill="1" applyBorder="1" applyAlignment="1">
      <alignment horizontal="center" wrapText="1"/>
    </xf>
    <xf numFmtId="2" fontId="22" fillId="129" borderId="12" xfId="0" applyNumberFormat="1" applyFont="1" applyFill="1" applyBorder="1" applyAlignment="1">
      <alignment horizontal="center" wrapText="1"/>
    </xf>
    <xf numFmtId="2" fontId="22" fillId="104" borderId="10" xfId="0" applyNumberFormat="1" applyFont="1" applyFill="1" applyBorder="1" applyAlignment="1">
      <alignment horizontal="center" wrapText="1"/>
    </xf>
    <xf numFmtId="2" fontId="22" fillId="133" borderId="12" xfId="0" applyNumberFormat="1" applyFont="1" applyFill="1" applyBorder="1" applyAlignment="1">
      <alignment horizontal="center" wrapText="1"/>
    </xf>
    <xf numFmtId="2" fontId="22" fillId="97" borderId="10" xfId="0" applyNumberFormat="1" applyFont="1" applyFill="1" applyBorder="1" applyAlignment="1">
      <alignment horizontal="center" wrapText="1"/>
    </xf>
    <xf numFmtId="2" fontId="22" fillId="117" borderId="12" xfId="0" applyNumberFormat="1" applyFont="1" applyFill="1" applyBorder="1" applyAlignment="1">
      <alignment horizontal="center" wrapText="1"/>
    </xf>
    <xf numFmtId="2" fontId="22" fillId="138" borderId="10" xfId="0" applyNumberFormat="1" applyFont="1" applyFill="1" applyBorder="1" applyAlignment="1">
      <alignment horizontal="center" wrapText="1"/>
    </xf>
    <xf numFmtId="2" fontId="22" fillId="96" borderId="10" xfId="0" applyNumberFormat="1" applyFont="1" applyFill="1" applyBorder="1" applyAlignment="1">
      <alignment horizontal="center" wrapText="1"/>
    </xf>
    <xf numFmtId="2" fontId="22" fillId="108" borderId="12" xfId="0" applyNumberFormat="1" applyFont="1" applyFill="1" applyBorder="1" applyAlignment="1">
      <alignment horizontal="center" wrapText="1"/>
    </xf>
    <xf numFmtId="2" fontId="22" fillId="146" borderId="10" xfId="0" applyNumberFormat="1" applyFont="1" applyFill="1" applyBorder="1" applyAlignment="1">
      <alignment horizontal="center" wrapText="1"/>
    </xf>
    <xf numFmtId="2" fontId="22" fillId="148" borderId="12" xfId="0" applyNumberFormat="1" applyFont="1" applyFill="1" applyBorder="1" applyAlignment="1">
      <alignment horizontal="center" wrapText="1"/>
    </xf>
    <xf numFmtId="2" fontId="22" fillId="105" borderId="10" xfId="0" applyNumberFormat="1" applyFont="1" applyFill="1" applyBorder="1" applyAlignment="1">
      <alignment horizontal="center" wrapText="1"/>
    </xf>
    <xf numFmtId="2" fontId="22" fillId="154" borderId="12" xfId="0" applyNumberFormat="1" applyFont="1" applyFill="1" applyBorder="1" applyAlignment="1">
      <alignment horizontal="center" wrapText="1"/>
    </xf>
    <xf numFmtId="2" fontId="22" fillId="91" borderId="10" xfId="0" applyNumberFormat="1" applyFont="1" applyFill="1" applyBorder="1" applyAlignment="1">
      <alignment horizontal="center" wrapText="1"/>
    </xf>
    <xf numFmtId="2" fontId="22" fillId="161" borderId="12" xfId="0" applyNumberFormat="1" applyFont="1" applyFill="1" applyBorder="1" applyAlignment="1">
      <alignment horizontal="center" wrapText="1"/>
    </xf>
    <xf numFmtId="2" fontId="22" fillId="80" borderId="10" xfId="0" applyNumberFormat="1" applyFont="1" applyFill="1" applyBorder="1" applyAlignment="1">
      <alignment horizontal="center" wrapText="1"/>
    </xf>
    <xf numFmtId="2" fontId="22" fillId="169" borderId="12" xfId="0" applyNumberFormat="1" applyFont="1" applyFill="1" applyBorder="1" applyAlignment="1">
      <alignment horizontal="center" wrapText="1"/>
    </xf>
    <xf numFmtId="2" fontId="22" fillId="77" borderId="10" xfId="0" applyNumberFormat="1" applyFont="1" applyFill="1" applyBorder="1" applyAlignment="1">
      <alignment horizontal="center" wrapText="1"/>
    </xf>
    <xf numFmtId="2" fontId="22" fillId="175" borderId="12" xfId="0" applyNumberFormat="1" applyFont="1" applyFill="1" applyBorder="1" applyAlignment="1">
      <alignment horizontal="center" wrapText="1"/>
    </xf>
    <xf numFmtId="2" fontId="22" fillId="158" borderId="10" xfId="0" applyNumberFormat="1" applyFont="1" applyFill="1" applyBorder="1" applyAlignment="1">
      <alignment horizontal="center" wrapText="1"/>
    </xf>
    <xf numFmtId="2" fontId="22" fillId="178" borderId="12" xfId="0" applyNumberFormat="1" applyFont="1" applyFill="1" applyBorder="1" applyAlignment="1">
      <alignment horizontal="center" wrapText="1"/>
    </xf>
    <xf numFmtId="2" fontId="22" fillId="180" borderId="10" xfId="0" applyNumberFormat="1" applyFont="1" applyFill="1" applyBorder="1" applyAlignment="1">
      <alignment horizontal="center" wrapText="1"/>
    </xf>
    <xf numFmtId="2" fontId="22" fillId="67" borderId="10" xfId="0" applyNumberFormat="1" applyFont="1" applyFill="1" applyBorder="1" applyAlignment="1">
      <alignment horizontal="center" wrapText="1"/>
    </xf>
    <xf numFmtId="2" fontId="22" fillId="37" borderId="12" xfId="0" applyNumberFormat="1" applyFont="1" applyFill="1" applyBorder="1" applyAlignment="1">
      <alignment horizontal="center" wrapText="1"/>
    </xf>
    <xf numFmtId="2" fontId="22" fillId="103" borderId="10" xfId="0" applyNumberFormat="1" applyFont="1" applyFill="1" applyBorder="1" applyAlignment="1">
      <alignment horizontal="center" wrapText="1"/>
    </xf>
    <xf numFmtId="2" fontId="22" fillId="184" borderId="12" xfId="0" applyNumberFormat="1" applyFont="1" applyFill="1" applyBorder="1" applyAlignment="1">
      <alignment horizontal="center" wrapText="1"/>
    </xf>
    <xf numFmtId="2" fontId="22" fillId="142" borderId="10" xfId="0" applyNumberFormat="1" applyFont="1" applyFill="1" applyBorder="1" applyAlignment="1">
      <alignment horizontal="center" wrapText="1"/>
    </xf>
    <xf numFmtId="2" fontId="22" fillId="188" borderId="12" xfId="0" applyNumberFormat="1" applyFont="1" applyFill="1" applyBorder="1" applyAlignment="1">
      <alignment horizontal="center" wrapText="1"/>
    </xf>
    <xf numFmtId="2" fontId="22" fillId="136" borderId="10" xfId="0" applyNumberFormat="1" applyFont="1" applyFill="1" applyBorder="1" applyAlignment="1">
      <alignment horizontal="center" wrapText="1"/>
    </xf>
    <xf numFmtId="2" fontId="22" fillId="160" borderId="12" xfId="0" applyNumberFormat="1" applyFont="1" applyFill="1" applyBorder="1" applyAlignment="1">
      <alignment horizontal="center" wrapText="1"/>
    </xf>
    <xf numFmtId="2" fontId="22" fillId="195" borderId="12" xfId="0" applyNumberFormat="1" applyFont="1" applyFill="1" applyBorder="1" applyAlignment="1">
      <alignment horizontal="center" wrapText="1"/>
    </xf>
    <xf numFmtId="2" fontId="22" fillId="197" borderId="10" xfId="0" applyNumberFormat="1" applyFont="1" applyFill="1" applyBorder="1" applyAlignment="1">
      <alignment horizontal="center" wrapText="1"/>
    </xf>
    <xf numFmtId="2" fontId="22" fillId="168" borderId="12" xfId="0" applyNumberFormat="1" applyFont="1" applyFill="1" applyBorder="1" applyAlignment="1">
      <alignment horizontal="center" wrapText="1"/>
    </xf>
    <xf numFmtId="2" fontId="22" fillId="76" borderId="10" xfId="0" applyNumberFormat="1" applyFont="1" applyFill="1" applyBorder="1" applyAlignment="1">
      <alignment horizontal="center" wrapText="1"/>
    </xf>
    <xf numFmtId="2" fontId="22" fillId="205" borderId="12" xfId="0" applyNumberFormat="1" applyFont="1" applyFill="1" applyBorder="1" applyAlignment="1">
      <alignment horizontal="center" wrapText="1"/>
    </xf>
    <xf numFmtId="2" fontId="22" fillId="152" borderId="10" xfId="0" applyNumberFormat="1" applyFont="1" applyFill="1" applyBorder="1" applyAlignment="1">
      <alignment horizontal="center" wrapText="1"/>
    </xf>
    <xf numFmtId="2" fontId="22" fillId="209" borderId="12" xfId="0" applyNumberFormat="1" applyFont="1" applyFill="1" applyBorder="1" applyAlignment="1">
      <alignment horizontal="center" wrapText="1"/>
    </xf>
    <xf numFmtId="2" fontId="22" fillId="95" borderId="10" xfId="0" applyNumberFormat="1" applyFont="1" applyFill="1" applyBorder="1" applyAlignment="1">
      <alignment horizontal="center" wrapText="1"/>
    </xf>
    <xf numFmtId="2" fontId="22" fillId="212" borderId="12" xfId="0" applyNumberFormat="1" applyFont="1" applyFill="1" applyBorder="1" applyAlignment="1">
      <alignment horizontal="center" wrapText="1"/>
    </xf>
    <xf numFmtId="2" fontId="22" fillId="130" borderId="10" xfId="0" applyNumberFormat="1" applyFont="1" applyFill="1" applyBorder="1" applyAlignment="1">
      <alignment horizontal="center" wrapText="1"/>
    </xf>
    <xf numFmtId="2" fontId="22" fillId="132" borderId="12" xfId="0" applyNumberFormat="1" applyFont="1" applyFill="1" applyBorder="1" applyAlignment="1">
      <alignment horizontal="center" wrapText="1"/>
    </xf>
    <xf numFmtId="2" fontId="22" fillId="217" borderId="12" xfId="0" applyNumberFormat="1" applyFont="1" applyFill="1" applyBorder="1" applyAlignment="1">
      <alignment horizontal="center" wrapText="1"/>
    </xf>
    <xf numFmtId="2" fontId="22" fillId="126" borderId="10" xfId="0" applyNumberFormat="1" applyFont="1" applyFill="1" applyBorder="1" applyAlignment="1">
      <alignment horizontal="center" wrapText="1"/>
    </xf>
    <xf numFmtId="2" fontId="22" fillId="159" borderId="12" xfId="0" applyNumberFormat="1" applyFont="1" applyFill="1" applyBorder="1" applyAlignment="1">
      <alignment horizontal="center" wrapText="1"/>
    </xf>
    <xf numFmtId="2" fontId="22" fillId="218" borderId="10" xfId="0" applyNumberFormat="1" applyFont="1" applyFill="1" applyBorder="1" applyAlignment="1">
      <alignment horizontal="center" wrapText="1"/>
    </xf>
    <xf numFmtId="2" fontId="22" fillId="101" borderId="12" xfId="0" applyNumberFormat="1" applyFont="1" applyFill="1" applyBorder="1" applyAlignment="1">
      <alignment horizontal="center" wrapText="1"/>
    </xf>
    <xf numFmtId="2" fontId="22" fillId="186" borderId="10" xfId="0" applyNumberFormat="1" applyFont="1" applyFill="1" applyBorder="1" applyAlignment="1">
      <alignment horizontal="center" wrapText="1"/>
    </xf>
    <xf numFmtId="2" fontId="22" fillId="226" borderId="10" xfId="0" applyNumberFormat="1" applyFont="1" applyFill="1" applyBorder="1" applyAlignment="1">
      <alignment horizontal="center" wrapText="1"/>
    </xf>
    <xf numFmtId="2" fontId="22" fillId="229" borderId="12" xfId="0" applyNumberFormat="1" applyFont="1" applyFill="1" applyBorder="1" applyAlignment="1">
      <alignment horizontal="center" wrapText="1"/>
    </xf>
    <xf numFmtId="2" fontId="22" fillId="230" borderId="10" xfId="0" applyNumberFormat="1" applyFont="1" applyFill="1" applyBorder="1" applyAlignment="1">
      <alignment horizontal="center" wrapText="1"/>
    </xf>
    <xf numFmtId="2" fontId="22" fillId="236" borderId="10" xfId="0" applyNumberFormat="1" applyFont="1" applyFill="1" applyBorder="1" applyAlignment="1">
      <alignment horizontal="center" wrapText="1"/>
    </xf>
    <xf numFmtId="2" fontId="22" fillId="239" borderId="12" xfId="0" applyNumberFormat="1" applyFont="1" applyFill="1" applyBorder="1" applyAlignment="1">
      <alignment horizontal="center" wrapText="1"/>
    </xf>
    <xf numFmtId="2" fontId="22" fillId="241" borderId="10" xfId="0" applyNumberFormat="1" applyFont="1" applyFill="1" applyBorder="1" applyAlignment="1">
      <alignment horizontal="center" wrapText="1"/>
    </xf>
    <xf numFmtId="2" fontId="22" fillId="183" borderId="12" xfId="0" applyNumberFormat="1" applyFont="1" applyFill="1" applyBorder="1" applyAlignment="1">
      <alignment horizontal="center" wrapText="1"/>
    </xf>
    <xf numFmtId="2" fontId="22" fillId="202" borderId="12" xfId="0" applyNumberFormat="1" applyFont="1" applyFill="1" applyBorder="1" applyAlignment="1">
      <alignment horizontal="center" wrapText="1"/>
    </xf>
    <xf numFmtId="2" fontId="22" fillId="99" borderId="10" xfId="0" applyNumberFormat="1" applyFont="1" applyFill="1" applyBorder="1" applyAlignment="1">
      <alignment horizontal="center" wrapText="1"/>
    </xf>
    <xf numFmtId="2" fontId="22" fillId="134" borderId="12" xfId="0" applyNumberFormat="1" applyFont="1" applyFill="1" applyBorder="1" applyAlignment="1">
      <alignment horizontal="center" wrapText="1"/>
    </xf>
    <xf numFmtId="2" fontId="22" fillId="248" borderId="10" xfId="0" applyNumberFormat="1" applyFont="1" applyFill="1" applyBorder="1" applyAlignment="1">
      <alignment horizontal="center" wrapText="1"/>
    </xf>
    <xf numFmtId="2" fontId="22" fillId="252" borderId="10" xfId="0" applyNumberFormat="1" applyFont="1" applyFill="1" applyBorder="1" applyAlignment="1">
      <alignment horizontal="center" wrapText="1"/>
    </xf>
    <xf numFmtId="2" fontId="22" fillId="55" borderId="12" xfId="0" applyNumberFormat="1" applyFont="1" applyFill="1" applyBorder="1" applyAlignment="1">
      <alignment horizontal="center" wrapText="1"/>
    </xf>
    <xf numFmtId="2" fontId="22" fillId="255" borderId="10" xfId="0" applyNumberFormat="1" applyFont="1" applyFill="1" applyBorder="1" applyAlignment="1">
      <alignment horizontal="center" wrapText="1"/>
    </xf>
    <xf numFmtId="2" fontId="22" fillId="259" borderId="10" xfId="0" applyNumberFormat="1" applyFont="1" applyFill="1" applyBorder="1" applyAlignment="1">
      <alignment horizontal="center" wrapText="1"/>
    </xf>
    <xf numFmtId="2" fontId="22" fillId="261" borderId="12" xfId="0" applyNumberFormat="1" applyFont="1" applyFill="1" applyBorder="1" applyAlignment="1">
      <alignment horizontal="center" wrapText="1"/>
    </xf>
    <xf numFmtId="2" fontId="22" fillId="263" borderId="10" xfId="0" applyNumberFormat="1" applyFont="1" applyFill="1" applyBorder="1" applyAlignment="1">
      <alignment horizontal="center" wrapText="1"/>
    </xf>
    <xf numFmtId="2" fontId="22" fillId="200" borderId="12" xfId="0" applyNumberFormat="1" applyFont="1" applyFill="1" applyBorder="1" applyAlignment="1">
      <alignment horizontal="center" wrapText="1"/>
    </xf>
    <xf numFmtId="2" fontId="22" fillId="213" borderId="10" xfId="0" applyNumberFormat="1" applyFont="1" applyFill="1" applyBorder="1" applyAlignment="1">
      <alignment horizontal="center" wrapText="1"/>
    </xf>
    <xf numFmtId="2" fontId="22" fillId="238" borderId="12" xfId="0" applyNumberFormat="1" applyFont="1" applyFill="1" applyBorder="1" applyAlignment="1">
      <alignment horizontal="center" wrapText="1"/>
    </xf>
    <xf numFmtId="2" fontId="22" fillId="189" borderId="10" xfId="0" applyNumberFormat="1" applyFont="1" applyFill="1" applyBorder="1" applyAlignment="1">
      <alignment horizontal="center" wrapText="1"/>
    </xf>
    <xf numFmtId="2" fontId="22" fillId="270" borderId="12" xfId="0" applyNumberFormat="1" applyFont="1" applyFill="1" applyBorder="1" applyAlignment="1">
      <alignment horizontal="center" wrapText="1"/>
    </xf>
    <xf numFmtId="2" fontId="22" fillId="240" borderId="10" xfId="0" applyNumberFormat="1" applyFont="1" applyFill="1" applyBorder="1" applyAlignment="1">
      <alignment horizontal="center" wrapText="1"/>
    </xf>
    <xf numFmtId="2" fontId="22" fillId="272" borderId="12" xfId="0" applyNumberFormat="1" applyFont="1" applyFill="1" applyBorder="1" applyAlignment="1">
      <alignment horizontal="center" wrapText="1"/>
    </xf>
    <xf numFmtId="2" fontId="22" fillId="273" borderId="10" xfId="0" applyNumberFormat="1" applyFont="1" applyFill="1" applyBorder="1" applyAlignment="1">
      <alignment horizontal="center" wrapText="1"/>
    </xf>
    <xf numFmtId="2" fontId="22" fillId="274" borderId="12" xfId="0" applyNumberFormat="1" applyFont="1" applyFill="1" applyBorder="1" applyAlignment="1">
      <alignment horizontal="center" wrapText="1"/>
    </xf>
    <xf numFmtId="2" fontId="22" fillId="85" borderId="10" xfId="0" applyNumberFormat="1" applyFont="1" applyFill="1" applyBorder="1" applyAlignment="1">
      <alignment horizontal="center" wrapText="1"/>
    </xf>
    <xf numFmtId="2" fontId="22" fillId="62" borderId="10" xfId="0" applyNumberFormat="1" applyFont="1" applyFill="1" applyBorder="1" applyAlignment="1">
      <alignment horizontal="center" wrapText="1"/>
    </xf>
    <xf numFmtId="2" fontId="22" fillId="280" borderId="12" xfId="0" applyNumberFormat="1" applyFont="1" applyFill="1" applyBorder="1" applyAlignment="1">
      <alignment horizontal="center" wrapText="1"/>
    </xf>
    <xf numFmtId="2" fontId="22" fillId="282" borderId="10" xfId="0" applyNumberFormat="1" applyFont="1" applyFill="1" applyBorder="1" applyAlignment="1">
      <alignment horizontal="center" wrapText="1"/>
    </xf>
    <xf numFmtId="2" fontId="22" fillId="284" borderId="12" xfId="0" applyNumberFormat="1" applyFont="1" applyFill="1" applyBorder="1" applyAlignment="1">
      <alignment horizontal="center" wrapText="1"/>
    </xf>
    <xf numFmtId="2" fontId="22" fillId="207" borderId="12" xfId="0" applyNumberFormat="1" applyFont="1" applyFill="1" applyBorder="1" applyAlignment="1">
      <alignment horizontal="center" wrapText="1"/>
    </xf>
    <xf numFmtId="2" fontId="22" fillId="39" borderId="10" xfId="0" applyNumberFormat="1" applyFont="1" applyFill="1" applyBorder="1" applyAlignment="1">
      <alignment horizontal="center" wrapText="1"/>
    </xf>
    <xf numFmtId="2" fontId="22" fillId="177" borderId="12" xfId="0" applyNumberFormat="1" applyFont="1" applyFill="1" applyBorder="1" applyAlignment="1">
      <alignment horizontal="center" wrapText="1"/>
    </xf>
    <xf numFmtId="2" fontId="22" fillId="144" borderId="10" xfId="0" applyNumberFormat="1" applyFont="1" applyFill="1" applyBorder="1" applyAlignment="1">
      <alignment horizontal="center" wrapText="1"/>
    </xf>
    <xf numFmtId="2" fontId="22" fillId="295" borderId="12" xfId="0" applyNumberFormat="1" applyFont="1" applyFill="1" applyBorder="1" applyAlignment="1">
      <alignment horizontal="center" wrapText="1"/>
    </xf>
    <xf numFmtId="2" fontId="22" fillId="306" borderId="10" xfId="0" applyNumberFormat="1" applyFont="1" applyFill="1" applyBorder="1" applyAlignment="1">
      <alignment horizontal="center" wrapText="1"/>
    </xf>
    <xf numFmtId="2" fontId="22" fillId="194" borderId="12" xfId="0" applyNumberFormat="1" applyFont="1" applyFill="1" applyBorder="1" applyAlignment="1">
      <alignment horizontal="center" wrapText="1"/>
    </xf>
    <xf numFmtId="2" fontId="22" fillId="286" borderId="10" xfId="0" applyNumberFormat="1" applyFont="1" applyFill="1" applyBorder="1" applyAlignment="1">
      <alignment horizontal="center" wrapText="1"/>
    </xf>
    <xf numFmtId="2" fontId="22" fillId="173" borderId="10" xfId="0" applyNumberFormat="1" applyFont="1" applyFill="1" applyBorder="1" applyAlignment="1">
      <alignment horizontal="center" wrapText="1"/>
    </xf>
    <xf numFmtId="2" fontId="22" fillId="256" borderId="12" xfId="0" applyNumberFormat="1" applyFont="1" applyFill="1" applyBorder="1" applyAlignment="1">
      <alignment horizontal="center" wrapText="1"/>
    </xf>
    <xf numFmtId="2" fontId="22" fillId="211" borderId="10" xfId="0" applyNumberFormat="1" applyFont="1" applyFill="1" applyBorder="1" applyAlignment="1">
      <alignment horizontal="center" wrapText="1"/>
    </xf>
    <xf numFmtId="2" fontId="22" fillId="81" borderId="10" xfId="0" applyNumberFormat="1" applyFont="1" applyFill="1" applyBorder="1" applyAlignment="1">
      <alignment horizontal="center" wrapText="1"/>
    </xf>
    <xf numFmtId="2" fontId="22" fillId="170" borderId="10" xfId="0" applyNumberFormat="1" applyFont="1" applyFill="1" applyBorder="1" applyAlignment="1">
      <alignment horizontal="center" wrapText="1"/>
    </xf>
    <xf numFmtId="2" fontId="22" fillId="242" borderId="10" xfId="0" applyNumberFormat="1" applyFont="1" applyFill="1" applyBorder="1" applyAlignment="1">
      <alignment horizontal="center" wrapText="1"/>
    </xf>
    <xf numFmtId="2" fontId="22" fillId="287" borderId="12" xfId="0" applyNumberFormat="1" applyFont="1" applyFill="1" applyBorder="1" applyAlignment="1">
      <alignment horizontal="center" wrapText="1"/>
    </xf>
    <xf numFmtId="2" fontId="22" fillId="328" borderId="10" xfId="0" applyNumberFormat="1" applyFont="1" applyFill="1" applyBorder="1" applyAlignment="1">
      <alignment horizontal="center" wrapText="1"/>
    </xf>
    <xf numFmtId="2" fontId="22" fillId="228" borderId="10" xfId="0" applyNumberFormat="1" applyFont="1" applyFill="1" applyBorder="1" applyAlignment="1">
      <alignment horizontal="center" wrapText="1"/>
    </xf>
    <xf numFmtId="2" fontId="22" fillId="332" borderId="12" xfId="0" applyNumberFormat="1" applyFont="1" applyFill="1" applyBorder="1" applyAlignment="1">
      <alignment horizontal="center" wrapText="1"/>
    </xf>
    <xf numFmtId="2" fontId="22" fillId="42" borderId="10" xfId="0" applyNumberFormat="1" applyFont="1" applyFill="1" applyBorder="1" applyAlignment="1">
      <alignment horizontal="center" wrapText="1"/>
    </xf>
    <xf numFmtId="2" fontId="22" fillId="204" borderId="12" xfId="0" applyNumberFormat="1" applyFont="1" applyFill="1" applyBorder="1" applyAlignment="1">
      <alignment horizontal="center" wrapText="1"/>
    </xf>
    <xf numFmtId="2" fontId="22" fillId="58" borderId="10" xfId="0" applyNumberFormat="1" applyFont="1" applyFill="1" applyBorder="1" applyAlignment="1">
      <alignment horizontal="center" wrapText="1"/>
    </xf>
    <xf numFmtId="2" fontId="22" fillId="250" borderId="12" xfId="0" applyNumberFormat="1" applyFont="1" applyFill="1" applyBorder="1" applyAlignment="1">
      <alignment horizontal="center" wrapText="1"/>
    </xf>
    <xf numFmtId="2" fontId="22" fillId="111" borderId="10" xfId="0" applyNumberFormat="1" applyFont="1" applyFill="1" applyBorder="1" applyAlignment="1">
      <alignment horizontal="center" wrapText="1"/>
    </xf>
    <xf numFmtId="2" fontId="22" fillId="84" borderId="10" xfId="0" applyNumberFormat="1" applyFont="1" applyFill="1" applyBorder="1" applyAlignment="1">
      <alignment horizontal="center" wrapText="1"/>
    </xf>
    <xf numFmtId="2" fontId="22" fillId="313" borderId="12" xfId="0" applyNumberFormat="1" applyFont="1" applyFill="1" applyBorder="1" applyAlignment="1">
      <alignment horizontal="center" wrapText="1"/>
    </xf>
    <xf numFmtId="2" fontId="22" fillId="210" borderId="10" xfId="0" applyNumberFormat="1" applyFont="1" applyFill="1" applyBorder="1" applyAlignment="1">
      <alignment horizontal="center" wrapText="1"/>
    </xf>
    <xf numFmtId="2" fontId="22" fillId="181" borderId="10" xfId="0" applyNumberFormat="1" applyFont="1" applyFill="1" applyBorder="1" applyAlignment="1">
      <alignment horizontal="center" wrapText="1"/>
    </xf>
    <xf numFmtId="2" fontId="22" fillId="347" borderId="12" xfId="0" applyNumberFormat="1" applyFont="1" applyFill="1" applyBorder="1" applyAlignment="1">
      <alignment horizontal="center" wrapText="1"/>
    </xf>
    <xf numFmtId="2" fontId="22" fillId="352" borderId="12" xfId="0" applyNumberFormat="1" applyFont="1" applyFill="1" applyBorder="1" applyAlignment="1">
      <alignment horizontal="center" wrapText="1"/>
    </xf>
    <xf numFmtId="2" fontId="22" fillId="354" borderId="10" xfId="0" applyNumberFormat="1" applyFont="1" applyFill="1" applyBorder="1" applyAlignment="1">
      <alignment horizontal="center" wrapText="1"/>
    </xf>
    <xf numFmtId="2" fontId="22" fillId="356" borderId="12" xfId="0" applyNumberFormat="1" applyFont="1" applyFill="1" applyBorder="1" applyAlignment="1">
      <alignment horizontal="center" wrapText="1"/>
    </xf>
    <xf numFmtId="2" fontId="22" fillId="360" borderId="10" xfId="0" applyNumberFormat="1" applyFont="1" applyFill="1" applyBorder="1" applyAlignment="1">
      <alignment horizontal="center" wrapText="1"/>
    </xf>
    <xf numFmtId="2" fontId="22" fillId="348" borderId="10" xfId="0" applyNumberFormat="1" applyFont="1" applyFill="1" applyBorder="1" applyAlignment="1">
      <alignment horizontal="center" wrapText="1"/>
    </xf>
    <xf numFmtId="2" fontId="22" fillId="46" borderId="10" xfId="0" applyNumberFormat="1" applyFont="1" applyFill="1" applyBorder="1" applyAlignment="1">
      <alignment horizontal="center" wrapText="1"/>
    </xf>
    <xf numFmtId="2" fontId="22" fillId="123" borderId="12" xfId="0" applyNumberFormat="1" applyFont="1" applyFill="1" applyBorder="1" applyAlignment="1">
      <alignment horizontal="center" wrapText="1"/>
    </xf>
    <xf numFmtId="2" fontId="22" fillId="318" borderId="10" xfId="0" applyNumberFormat="1" applyFont="1" applyFill="1" applyBorder="1" applyAlignment="1">
      <alignment horizontal="center" wrapText="1"/>
    </xf>
    <xf numFmtId="2" fontId="22" fillId="371" borderId="12" xfId="0" applyNumberFormat="1" applyFont="1" applyFill="1" applyBorder="1" applyAlignment="1">
      <alignment horizontal="center" wrapText="1"/>
    </xf>
    <xf numFmtId="2" fontId="22" fillId="303" borderId="10" xfId="0" applyNumberFormat="1" applyFont="1" applyFill="1" applyBorder="1" applyAlignment="1">
      <alignment horizontal="center" wrapText="1"/>
    </xf>
    <xf numFmtId="2" fontId="22" fillId="314" borderId="10" xfId="0" applyNumberFormat="1" applyFont="1" applyFill="1" applyBorder="1" applyAlignment="1">
      <alignment horizontal="center" wrapText="1"/>
    </xf>
    <xf numFmtId="2" fontId="22" fillId="372" borderId="12" xfId="0" applyNumberFormat="1" applyFont="1" applyFill="1" applyBorder="1" applyAlignment="1">
      <alignment horizontal="center" wrapText="1"/>
    </xf>
    <xf numFmtId="2" fontId="22" fillId="287" borderId="10" xfId="0" applyNumberFormat="1" applyFont="1" applyFill="1" applyBorder="1" applyAlignment="1">
      <alignment horizontal="center" wrapText="1"/>
    </xf>
    <xf numFmtId="2" fontId="22" fillId="380" borderId="10" xfId="0" applyNumberFormat="1" applyFont="1" applyFill="1" applyBorder="1" applyAlignment="1">
      <alignment horizontal="center" wrapText="1"/>
    </xf>
    <xf numFmtId="2" fontId="22" fillId="245" borderId="12" xfId="0" applyNumberFormat="1" applyFont="1" applyFill="1" applyBorder="1" applyAlignment="1">
      <alignment horizontal="center" wrapText="1"/>
    </xf>
    <xf numFmtId="2" fontId="22" fillId="383" borderId="10" xfId="0" applyNumberFormat="1" applyFont="1" applyFill="1" applyBorder="1" applyAlignment="1">
      <alignment horizontal="center" wrapText="1"/>
    </xf>
    <xf numFmtId="2" fontId="22" fillId="357" borderId="12" xfId="0" applyNumberFormat="1" applyFont="1" applyFill="1" applyBorder="1" applyAlignment="1">
      <alignment horizontal="center" wrapText="1"/>
    </xf>
    <xf numFmtId="2" fontId="22" fillId="386" borderId="10" xfId="0" applyNumberFormat="1" applyFont="1" applyFill="1" applyBorder="1" applyAlignment="1">
      <alignment horizontal="center" wrapText="1"/>
    </xf>
    <xf numFmtId="2" fontId="22" fillId="389" borderId="12" xfId="0" applyNumberFormat="1" applyFont="1" applyFill="1" applyBorder="1" applyAlignment="1">
      <alignment horizontal="center" wrapText="1"/>
    </xf>
    <xf numFmtId="2" fontId="22" fillId="238" borderId="10" xfId="0" applyNumberFormat="1" applyFont="1" applyFill="1" applyBorder="1" applyAlignment="1">
      <alignment horizontal="center" wrapText="1"/>
    </xf>
    <xf numFmtId="2" fontId="22" fillId="208" borderId="12" xfId="0" applyNumberFormat="1" applyFont="1" applyFill="1" applyBorder="1" applyAlignment="1">
      <alignment horizontal="center" wrapText="1"/>
    </xf>
    <xf numFmtId="2" fontId="22" fillId="187" borderId="10" xfId="0" applyNumberFormat="1" applyFont="1" applyFill="1" applyBorder="1" applyAlignment="1">
      <alignment horizontal="center" wrapText="1"/>
    </xf>
    <xf numFmtId="2" fontId="22" fillId="392" borderId="12" xfId="0" applyNumberFormat="1" applyFont="1" applyFill="1" applyBorder="1" applyAlignment="1">
      <alignment horizontal="center" wrapText="1"/>
    </xf>
    <xf numFmtId="2" fontId="22" fillId="313" borderId="10" xfId="0" applyNumberFormat="1" applyFont="1" applyFill="1" applyBorder="1" applyAlignment="1">
      <alignment horizontal="center" wrapText="1"/>
    </xf>
    <xf numFmtId="2" fontId="22" fillId="374" borderId="12" xfId="0" applyNumberFormat="1" applyFont="1" applyFill="1" applyBorder="1" applyAlignment="1">
      <alignment horizontal="center" wrapText="1"/>
    </xf>
    <xf numFmtId="2" fontId="22" fillId="274" borderId="10" xfId="0" applyNumberFormat="1" applyFont="1" applyFill="1" applyBorder="1" applyAlignment="1">
      <alignment horizontal="center" wrapText="1"/>
    </xf>
    <xf numFmtId="2" fontId="22" fillId="396" borderId="12" xfId="0" applyNumberFormat="1" applyFont="1" applyFill="1" applyBorder="1" applyAlignment="1">
      <alignment horizontal="center" wrapText="1"/>
    </xf>
    <xf numFmtId="2" fontId="22" fillId="390" borderId="10" xfId="0" applyNumberFormat="1" applyFont="1" applyFill="1" applyBorder="1" applyAlignment="1">
      <alignment horizontal="center" wrapText="1"/>
    </xf>
    <xf numFmtId="2" fontId="22" fillId="397" borderId="12" xfId="0" applyNumberFormat="1" applyFont="1" applyFill="1" applyBorder="1" applyAlignment="1">
      <alignment horizontal="center" wrapText="1"/>
    </xf>
    <xf numFmtId="2" fontId="22" fillId="395" borderId="10" xfId="0" applyNumberFormat="1" applyFont="1" applyFill="1" applyBorder="1" applyAlignment="1">
      <alignment horizontal="center" wrapText="1"/>
    </xf>
    <xf numFmtId="2" fontId="22" fillId="277" borderId="10" xfId="0" applyNumberFormat="1" applyFont="1" applyFill="1" applyBorder="1" applyAlignment="1">
      <alignment horizontal="center" wrapText="1"/>
    </xf>
    <xf numFmtId="2" fontId="22" fillId="403" borderId="10" xfId="0" applyNumberFormat="1" applyFont="1" applyFill="1" applyBorder="1" applyAlignment="1">
      <alignment horizontal="center" wrapText="1"/>
    </xf>
    <xf numFmtId="2" fontId="22" fillId="399" borderId="12" xfId="0" applyNumberFormat="1" applyFont="1" applyFill="1" applyBorder="1" applyAlignment="1">
      <alignment horizontal="center" wrapText="1"/>
    </xf>
    <xf numFmtId="2" fontId="22" fillId="45" borderId="10" xfId="0" applyNumberFormat="1" applyFont="1" applyFill="1" applyBorder="1" applyAlignment="1">
      <alignment horizontal="center" wrapText="1"/>
    </xf>
    <xf numFmtId="2" fontId="22" fillId="386" borderId="12" xfId="0" applyNumberFormat="1" applyFont="1" applyFill="1" applyBorder="1" applyAlignment="1">
      <alignment horizontal="center" wrapText="1"/>
    </xf>
    <xf numFmtId="2" fontId="22" fillId="336" borderId="10" xfId="0" applyNumberFormat="1" applyFont="1" applyFill="1" applyBorder="1" applyAlignment="1">
      <alignment horizontal="center" wrapText="1"/>
    </xf>
    <xf numFmtId="2" fontId="22" fillId="412" borderId="12" xfId="0" applyNumberFormat="1" applyFont="1" applyFill="1" applyBorder="1" applyAlignment="1">
      <alignment horizontal="center" wrapText="1"/>
    </xf>
    <xf numFmtId="2" fontId="22" fillId="303" borderId="12" xfId="0" applyNumberFormat="1" applyFont="1" applyFill="1" applyBorder="1" applyAlignment="1">
      <alignment horizontal="center" wrapText="1"/>
    </xf>
    <xf numFmtId="2" fontId="22" fillId="115" borderId="10" xfId="0" applyNumberFormat="1" applyFont="1" applyFill="1" applyBorder="1" applyAlignment="1">
      <alignment horizontal="center" wrapText="1"/>
    </xf>
    <xf numFmtId="2" fontId="22" fillId="221" borderId="10" xfId="0" applyNumberFormat="1" applyFont="1" applyFill="1" applyBorder="1" applyAlignment="1">
      <alignment horizontal="center" wrapText="1"/>
    </xf>
    <xf numFmtId="2" fontId="22" fillId="299" borderId="10" xfId="0" applyNumberFormat="1" applyFont="1" applyFill="1" applyBorder="1" applyAlignment="1">
      <alignment horizontal="center" wrapText="1"/>
    </xf>
    <xf numFmtId="2" fontId="22" fillId="312" borderId="12" xfId="0" applyNumberFormat="1" applyFont="1" applyFill="1" applyBorder="1" applyAlignment="1">
      <alignment horizontal="center" wrapText="1"/>
    </xf>
    <xf numFmtId="2" fontId="22" fillId="275" borderId="10" xfId="0" applyNumberFormat="1" applyFont="1" applyFill="1" applyBorder="1" applyAlignment="1">
      <alignment horizontal="center" wrapText="1"/>
    </xf>
    <xf numFmtId="2" fontId="22" fillId="411" borderId="12" xfId="0" applyNumberFormat="1" applyFont="1" applyFill="1" applyBorder="1" applyAlignment="1">
      <alignment horizontal="center" wrapText="1"/>
    </xf>
    <xf numFmtId="2" fontId="22" fillId="92" borderId="10" xfId="0" applyNumberFormat="1" applyFont="1" applyFill="1" applyBorder="1" applyAlignment="1">
      <alignment horizontal="center" wrapText="1"/>
    </xf>
    <xf numFmtId="2" fontId="22" fillId="428" borderId="12" xfId="0" applyNumberFormat="1" applyFont="1" applyFill="1" applyBorder="1" applyAlignment="1">
      <alignment horizontal="center" wrapText="1"/>
    </xf>
    <xf numFmtId="2" fontId="22" fillId="163" borderId="10" xfId="0" applyNumberFormat="1" applyFont="1" applyFill="1" applyBorder="1" applyAlignment="1">
      <alignment horizontal="center" wrapText="1"/>
    </xf>
    <xf numFmtId="2" fontId="22" fillId="385" borderId="12" xfId="0" applyNumberFormat="1" applyFont="1" applyFill="1" applyBorder="1" applyAlignment="1">
      <alignment horizontal="center" wrapText="1"/>
    </xf>
    <xf numFmtId="2" fontId="22" fillId="389" borderId="10" xfId="0" applyNumberFormat="1" applyFont="1" applyFill="1" applyBorder="1" applyAlignment="1">
      <alignment horizontal="center" wrapText="1"/>
    </xf>
    <xf numFmtId="2" fontId="22" fillId="355" borderId="10" xfId="0" applyNumberFormat="1" applyFont="1" applyFill="1" applyBorder="1" applyAlignment="1">
      <alignment horizontal="center" wrapText="1"/>
    </xf>
    <xf numFmtId="2" fontId="22" fillId="436" borderId="12" xfId="0" applyNumberFormat="1" applyFont="1" applyFill="1" applyBorder="1" applyAlignment="1">
      <alignment horizontal="center" wrapText="1"/>
    </xf>
    <xf numFmtId="2" fontId="22" fillId="378" borderId="10" xfId="0" applyNumberFormat="1" applyFont="1" applyFill="1" applyBorder="1" applyAlignment="1">
      <alignment horizontal="center" wrapText="1"/>
    </xf>
    <xf numFmtId="2" fontId="22" fillId="335" borderId="12" xfId="0" applyNumberFormat="1" applyFont="1" applyFill="1" applyBorder="1" applyAlignment="1">
      <alignment horizontal="center" wrapText="1"/>
    </xf>
    <xf numFmtId="2" fontId="22" fillId="326" borderId="10" xfId="0" applyNumberFormat="1" applyFont="1" applyFill="1" applyBorder="1" applyAlignment="1">
      <alignment horizontal="center" wrapText="1"/>
    </xf>
    <xf numFmtId="2" fontId="22" fillId="451" borderId="12" xfId="0" applyNumberFormat="1" applyFont="1" applyFill="1" applyBorder="1" applyAlignment="1">
      <alignment horizontal="center" wrapText="1"/>
    </xf>
    <xf numFmtId="2" fontId="22" fillId="179" borderId="10" xfId="0" applyNumberFormat="1" applyFont="1" applyFill="1" applyBorder="1" applyAlignment="1">
      <alignment horizontal="center" wrapText="1"/>
    </xf>
    <xf numFmtId="2" fontId="22" fillId="454" borderId="12" xfId="0" applyNumberFormat="1" applyFont="1" applyFill="1" applyBorder="1" applyAlignment="1">
      <alignment horizontal="center" wrapText="1"/>
    </xf>
    <xf numFmtId="2" fontId="22" fillId="48" borderId="10" xfId="0" applyNumberFormat="1" applyFont="1" applyFill="1" applyBorder="1" applyAlignment="1">
      <alignment horizontal="center" wrapText="1"/>
    </xf>
    <xf numFmtId="2" fontId="22" fillId="293" borderId="12" xfId="0" applyNumberFormat="1" applyFont="1" applyFill="1" applyBorder="1" applyAlignment="1">
      <alignment horizontal="center" wrapText="1"/>
    </xf>
    <xf numFmtId="2" fontId="22" fillId="98" borderId="10" xfId="0" applyNumberFormat="1" applyFont="1" applyFill="1" applyBorder="1" applyAlignment="1">
      <alignment horizontal="center" wrapText="1"/>
    </xf>
    <xf numFmtId="2" fontId="22" fillId="380" borderId="12" xfId="0" applyNumberFormat="1" applyFont="1" applyFill="1" applyBorder="1" applyAlignment="1">
      <alignment horizontal="center" wrapText="1"/>
    </xf>
    <xf numFmtId="2" fontId="22" fillId="298" borderId="10" xfId="0" applyNumberFormat="1" applyFont="1" applyFill="1" applyBorder="1" applyAlignment="1">
      <alignment horizontal="center" wrapText="1"/>
    </xf>
    <xf numFmtId="2" fontId="22" fillId="417" borderId="12" xfId="0" applyNumberFormat="1" applyFont="1" applyFill="1" applyBorder="1" applyAlignment="1">
      <alignment horizontal="center" wrapText="1"/>
    </xf>
    <xf numFmtId="2" fontId="22" fillId="388" borderId="10" xfId="0" applyNumberFormat="1" applyFont="1" applyFill="1" applyBorder="1" applyAlignment="1">
      <alignment horizontal="center" wrapText="1"/>
    </xf>
    <xf numFmtId="2" fontId="22" fillId="392" borderId="10" xfId="0" applyNumberFormat="1" applyFont="1" applyFill="1" applyBorder="1" applyAlignment="1">
      <alignment horizontal="center" wrapText="1"/>
    </xf>
    <xf numFmtId="2" fontId="22" fillId="364" borderId="12" xfId="0" applyNumberFormat="1" applyFont="1" applyFill="1" applyBorder="1" applyAlignment="1">
      <alignment horizontal="center" wrapText="1"/>
    </xf>
    <xf numFmtId="2" fontId="22" fillId="113" borderId="10" xfId="0" applyNumberFormat="1" applyFont="1" applyFill="1" applyBorder="1" applyAlignment="1">
      <alignment horizontal="center" wrapText="1"/>
    </xf>
    <xf numFmtId="2" fontId="22" fillId="174" borderId="12" xfId="0" applyNumberFormat="1" applyFont="1" applyFill="1" applyBorder="1" applyAlignment="1">
      <alignment horizontal="center" wrapText="1"/>
    </xf>
    <xf numFmtId="2" fontId="22" fillId="53" borderId="10" xfId="0" applyNumberFormat="1" applyFont="1" applyFill="1" applyBorder="1" applyAlignment="1">
      <alignment horizontal="center" wrapText="1"/>
    </xf>
    <xf numFmtId="2" fontId="22" fillId="68" borderId="10" xfId="0" applyNumberFormat="1" applyFont="1" applyFill="1" applyBorder="1" applyAlignment="1">
      <alignment horizontal="center" wrapText="1"/>
    </xf>
    <xf numFmtId="2" fontId="22" fillId="309" borderId="12" xfId="0" applyNumberFormat="1" applyFont="1" applyFill="1" applyBorder="1" applyAlignment="1">
      <alignment horizontal="center" wrapText="1"/>
    </xf>
    <xf numFmtId="2" fontId="22" fillId="243" borderId="10" xfId="0" applyNumberFormat="1" applyFont="1" applyFill="1" applyBorder="1" applyAlignment="1">
      <alignment horizontal="center" wrapText="1"/>
    </xf>
    <xf numFmtId="2" fontId="22" fillId="429" borderId="12" xfId="0" applyNumberFormat="1" applyFont="1" applyFill="1" applyBorder="1" applyAlignment="1">
      <alignment horizontal="center" wrapText="1"/>
    </xf>
    <xf numFmtId="2" fontId="22" fillId="171" borderId="10" xfId="0" applyNumberFormat="1" applyFont="1" applyFill="1" applyBorder="1" applyAlignment="1">
      <alignment horizontal="center" wrapText="1"/>
    </xf>
    <xf numFmtId="2" fontId="22" fillId="422" borderId="12" xfId="0" applyNumberFormat="1" applyFont="1" applyFill="1" applyBorder="1" applyAlignment="1">
      <alignment horizontal="center" wrapText="1"/>
    </xf>
    <xf numFmtId="2" fontId="22" fillId="74" borderId="12" xfId="0" applyNumberFormat="1" applyFont="1" applyFill="1" applyBorder="1" applyAlignment="1">
      <alignment horizontal="center" wrapText="1"/>
    </xf>
    <xf numFmtId="2" fontId="22" fillId="164" borderId="12" xfId="0" applyNumberFormat="1" applyFont="1" applyFill="1" applyBorder="1" applyAlignment="1">
      <alignment horizontal="center" wrapText="1"/>
    </xf>
    <xf numFmtId="2" fontId="22" fillId="56" borderId="10" xfId="0" applyNumberFormat="1" applyFont="1" applyFill="1" applyBorder="1" applyAlignment="1">
      <alignment horizontal="center" wrapText="1"/>
    </xf>
    <xf numFmtId="2" fontId="22" fillId="105" borderId="12" xfId="0" applyNumberFormat="1" applyFont="1" applyFill="1" applyBorder="1" applyAlignment="1">
      <alignment horizontal="center" wrapText="1"/>
    </xf>
    <xf numFmtId="2" fontId="22" fillId="57" borderId="10" xfId="0" applyNumberFormat="1" applyFont="1" applyFill="1" applyBorder="1" applyAlignment="1">
      <alignment horizontal="center" wrapText="1"/>
    </xf>
    <xf numFmtId="2" fontId="22" fillId="327" borderId="12" xfId="0" applyNumberFormat="1" applyFont="1" applyFill="1" applyBorder="1" applyAlignment="1">
      <alignment horizontal="center" wrapText="1"/>
    </xf>
    <xf numFmtId="2" fontId="22" fillId="70" borderId="12" xfId="0" applyNumberFormat="1" applyFont="1" applyFill="1" applyBorder="1" applyAlignment="1">
      <alignment horizontal="center" wrapText="1"/>
    </xf>
    <xf numFmtId="2" fontId="22" fillId="91" borderId="12" xfId="0" applyNumberFormat="1" applyFont="1" applyFill="1" applyBorder="1" applyAlignment="1">
      <alignment horizontal="center" wrapText="1"/>
    </xf>
    <xf numFmtId="2" fontId="22" fillId="320" borderId="10" xfId="0" applyNumberFormat="1" applyFont="1" applyFill="1" applyBorder="1" applyAlignment="1">
      <alignment horizontal="center" wrapText="1"/>
    </xf>
    <xf numFmtId="2" fontId="22" fillId="66" borderId="12" xfId="0" applyNumberFormat="1" applyFont="1" applyFill="1" applyBorder="1" applyAlignment="1">
      <alignment horizontal="center" wrapText="1"/>
    </xf>
    <xf numFmtId="2" fontId="22" fillId="366" borderId="12" xfId="0" applyNumberFormat="1" applyFont="1" applyFill="1" applyBorder="1" applyAlignment="1">
      <alignment horizontal="center" wrapText="1"/>
    </xf>
    <xf numFmtId="2" fontId="22" fillId="258" borderId="10" xfId="0" applyNumberFormat="1" applyFont="1" applyFill="1" applyBorder="1" applyAlignment="1">
      <alignment horizontal="center" wrapText="1"/>
    </xf>
    <xf numFmtId="2" fontId="22" fillId="191" borderId="12" xfId="0" applyNumberFormat="1" applyFont="1" applyFill="1" applyBorder="1" applyAlignment="1">
      <alignment horizontal="center" wrapText="1"/>
    </xf>
    <xf numFmtId="2" fontId="22" fillId="192" borderId="10" xfId="0" applyNumberFormat="1" applyFont="1" applyFill="1" applyBorder="1" applyAlignment="1">
      <alignment horizontal="center" wrapText="1"/>
    </xf>
    <xf numFmtId="2" fontId="22" fillId="425" borderId="12" xfId="0" applyNumberFormat="1" applyFont="1" applyFill="1" applyBorder="1" applyAlignment="1">
      <alignment horizontal="center" wrapText="1"/>
    </xf>
    <xf numFmtId="2" fontId="22" fillId="370" borderId="12" xfId="0" applyNumberFormat="1" applyFont="1" applyFill="1" applyBorder="1" applyAlignment="1">
      <alignment horizontal="center" wrapText="1"/>
    </xf>
    <xf numFmtId="2" fontId="22" fillId="157" borderId="10" xfId="0" applyNumberFormat="1" applyFont="1" applyFill="1" applyBorder="1" applyAlignment="1">
      <alignment horizontal="center" wrapText="1"/>
    </xf>
    <xf numFmtId="2" fontId="22" fillId="253" borderId="12" xfId="0" applyNumberFormat="1" applyFont="1" applyFill="1" applyBorder="1" applyAlignment="1">
      <alignment horizontal="center" wrapText="1"/>
    </xf>
    <xf numFmtId="2" fontId="22" fillId="90" borderId="12" xfId="0" applyNumberFormat="1" applyFont="1" applyFill="1" applyBorder="1" applyAlignment="1">
      <alignment horizontal="center" wrapText="1"/>
    </xf>
    <xf numFmtId="2" fontId="22" fillId="61" borderId="12" xfId="0" applyNumberFormat="1" applyFont="1" applyFill="1" applyBorder="1" applyAlignment="1">
      <alignment horizontal="center" wrapText="1"/>
    </xf>
    <xf numFmtId="2" fontId="22" fillId="97" borderId="12" xfId="0" applyNumberFormat="1" applyFont="1" applyFill="1" applyBorder="1" applyAlignment="1">
      <alignment horizontal="center" wrapText="1"/>
    </xf>
    <xf numFmtId="2" fontId="22" fillId="38" borderId="12" xfId="0" applyNumberFormat="1" applyFont="1" applyFill="1" applyBorder="1" applyAlignment="1">
      <alignment horizontal="center" wrapText="1"/>
    </xf>
    <xf numFmtId="2" fontId="22" fillId="121" borderId="12" xfId="0" applyNumberFormat="1" applyFont="1" applyFill="1" applyBorder="1" applyAlignment="1">
      <alignment horizontal="center" wrapText="1"/>
    </xf>
    <xf numFmtId="2" fontId="22" fillId="84" borderId="12" xfId="0" applyNumberFormat="1" applyFont="1" applyFill="1" applyBorder="1" applyAlignment="1">
      <alignment horizontal="center" wrapText="1"/>
    </xf>
    <xf numFmtId="2" fontId="22" fillId="51" borderId="10" xfId="0" applyNumberFormat="1" applyFont="1" applyFill="1" applyBorder="1" applyAlignment="1">
      <alignment horizontal="center" wrapText="1"/>
    </xf>
    <xf numFmtId="2" fontId="22" fillId="47" borderId="12" xfId="0" applyNumberFormat="1" applyFont="1" applyFill="1" applyBorder="1" applyAlignment="1">
      <alignment horizontal="center" wrapText="1"/>
    </xf>
    <xf numFmtId="2" fontId="22" fillId="40" borderId="10" xfId="0" applyNumberFormat="1" applyFont="1" applyFill="1" applyBorder="1" applyAlignment="1">
      <alignment horizontal="center" wrapText="1"/>
    </xf>
    <xf numFmtId="2" fontId="22" fillId="165" borderId="12" xfId="0" applyNumberFormat="1" applyFont="1" applyFill="1" applyBorder="1" applyAlignment="1">
      <alignment horizontal="center" wrapText="1"/>
    </xf>
    <xf numFmtId="2" fontId="22" fillId="65" borderId="10" xfId="0" applyNumberFormat="1" applyFont="1" applyFill="1" applyBorder="1" applyAlignment="1">
      <alignment horizontal="center" wrapText="1"/>
    </xf>
    <xf numFmtId="2" fontId="22" fillId="77" borderId="12" xfId="0" applyNumberFormat="1" applyFont="1" applyFill="1" applyBorder="1" applyAlignment="1">
      <alignment horizontal="center" wrapText="1"/>
    </xf>
    <xf numFmtId="2" fontId="22" fillId="95" borderId="12" xfId="0" applyNumberFormat="1" applyFont="1" applyFill="1" applyBorder="1" applyAlignment="1">
      <alignment horizontal="center" wrapText="1"/>
    </xf>
    <xf numFmtId="2" fontId="22" fillId="78" borderId="12" xfId="0" applyNumberFormat="1" applyFont="1" applyFill="1" applyBorder="1" applyAlignment="1">
      <alignment horizontal="center" wrapText="1"/>
    </xf>
    <xf numFmtId="2" fontId="22" fillId="59" borderId="12" xfId="0" applyNumberFormat="1" applyFont="1" applyFill="1" applyBorder="1" applyAlignment="1">
      <alignment horizontal="center" wrapText="1"/>
    </xf>
    <xf numFmtId="2" fontId="22" fillId="172" borderId="10" xfId="0" applyNumberFormat="1" applyFont="1" applyFill="1" applyBorder="1" applyAlignment="1">
      <alignment horizontal="center" wrapText="1"/>
    </xf>
    <xf numFmtId="2" fontId="22" fillId="321" borderId="12" xfId="0" applyNumberFormat="1" applyFont="1" applyFill="1" applyBorder="1" applyAlignment="1">
      <alignment horizontal="center" wrapText="1"/>
    </xf>
    <xf numFmtId="2" fontId="22" fillId="66" borderId="10" xfId="0" applyNumberFormat="1" applyFont="1" applyFill="1" applyBorder="1" applyAlignment="1">
      <alignment horizontal="center" wrapText="1"/>
    </xf>
    <xf numFmtId="2" fontId="22" fillId="114" borderId="12" xfId="0" applyNumberFormat="1" applyFont="1" applyFill="1" applyBorder="1" applyAlignment="1">
      <alignment horizontal="center" wrapText="1"/>
    </xf>
    <xf numFmtId="2" fontId="22" fillId="54" borderId="10" xfId="0" applyNumberFormat="1" applyFont="1" applyFill="1" applyBorder="1" applyAlignment="1">
      <alignment horizontal="center" wrapText="1"/>
    </xf>
    <xf numFmtId="2" fontId="22" fillId="198" borderId="12" xfId="0" applyNumberFormat="1" applyFont="1" applyFill="1" applyBorder="1" applyAlignment="1">
      <alignment horizontal="center" wrapText="1"/>
    </xf>
    <xf numFmtId="2" fontId="22" fillId="152" borderId="12" xfId="0" applyNumberFormat="1" applyFont="1" applyFill="1" applyBorder="1" applyAlignment="1">
      <alignment horizontal="center" wrapText="1"/>
    </xf>
    <xf numFmtId="2" fontId="22" fillId="315" borderId="12" xfId="0" applyNumberFormat="1" applyFont="1" applyFill="1" applyBorder="1" applyAlignment="1">
      <alignment horizontal="center" wrapText="1"/>
    </xf>
    <xf numFmtId="2" fontId="22" fillId="41" borderId="12" xfId="0" applyNumberFormat="1" applyFont="1" applyFill="1" applyBorder="1" applyAlignment="1">
      <alignment horizontal="center" wrapText="1"/>
    </xf>
    <xf numFmtId="2" fontId="22" fillId="115" borderId="12" xfId="0" applyNumberFormat="1" applyFont="1" applyFill="1" applyBorder="1" applyAlignment="1">
      <alignment horizontal="center" wrapText="1"/>
    </xf>
    <xf numFmtId="2" fontId="22" fillId="47" borderId="10" xfId="0" applyNumberFormat="1" applyFont="1" applyFill="1" applyBorder="1" applyAlignment="1">
      <alignment horizontal="center" wrapText="1"/>
    </xf>
    <xf numFmtId="2" fontId="22" fillId="88" borderId="12" xfId="0" applyNumberFormat="1" applyFont="1" applyFill="1" applyBorder="1" applyAlignment="1">
      <alignment horizontal="center" wrapText="1"/>
    </xf>
    <xf numFmtId="2" fontId="22" fillId="266" borderId="10" xfId="0" applyNumberFormat="1" applyFont="1" applyFill="1" applyBorder="1" applyAlignment="1">
      <alignment horizontal="center" wrapText="1"/>
    </xf>
    <xf numFmtId="2" fontId="22" fillId="89" borderId="12" xfId="0" applyNumberFormat="1" applyFont="1" applyFill="1" applyBorder="1" applyAlignment="1">
      <alignment horizontal="center" wrapText="1"/>
    </xf>
    <xf numFmtId="2" fontId="22" fillId="208" borderId="10" xfId="0" applyNumberFormat="1" applyFont="1" applyFill="1" applyBorder="1" applyAlignment="1">
      <alignment horizontal="center" wrapText="1"/>
    </xf>
    <xf numFmtId="2" fontId="22" fillId="62" borderId="12" xfId="0" applyNumberFormat="1" applyFont="1" applyFill="1" applyBorder="1" applyAlignment="1">
      <alignment horizontal="center" wrapText="1"/>
    </xf>
    <xf numFmtId="2" fontId="22" fillId="139" borderId="10" xfId="0" applyNumberFormat="1" applyFont="1" applyFill="1" applyBorder="1" applyAlignment="1">
      <alignment horizontal="center" wrapText="1"/>
    </xf>
    <xf numFmtId="2" fontId="22" fillId="349" borderId="12" xfId="0" applyNumberFormat="1" applyFont="1" applyFill="1" applyBorder="1" applyAlignment="1">
      <alignment horizontal="center" wrapText="1"/>
    </xf>
    <xf numFmtId="2" fontId="22" fillId="179" borderId="12" xfId="0" applyNumberFormat="1" applyFont="1" applyFill="1" applyBorder="1" applyAlignment="1">
      <alignment horizontal="center" wrapText="1"/>
    </xf>
    <xf numFmtId="2" fontId="22" fillId="113" borderId="12" xfId="0" applyNumberFormat="1" applyFont="1" applyFill="1" applyBorder="1" applyAlignment="1">
      <alignment horizontal="center" wrapText="1"/>
    </xf>
    <xf numFmtId="2" fontId="22" fillId="176" borderId="10" xfId="0" applyNumberFormat="1" applyFont="1" applyFill="1" applyBorder="1" applyAlignment="1">
      <alignment horizontal="center" wrapText="1"/>
    </xf>
    <xf numFmtId="2" fontId="22" fillId="107" borderId="10" xfId="0" applyNumberFormat="1" applyFont="1" applyFill="1" applyBorder="1" applyAlignment="1">
      <alignment horizontal="center" wrapText="1"/>
    </xf>
    <xf numFmtId="2" fontId="22" fillId="282" borderId="12" xfId="0" applyNumberFormat="1" applyFont="1" applyFill="1" applyBorder="1" applyAlignment="1">
      <alignment horizontal="center" wrapText="1"/>
    </xf>
    <xf numFmtId="2" fontId="22" fillId="189" borderId="12" xfId="0" applyNumberFormat="1" applyFont="1" applyFill="1" applyBorder="1" applyAlignment="1">
      <alignment horizontal="center" wrapText="1"/>
    </xf>
    <xf numFmtId="2" fontId="22" fillId="327" borderId="10" xfId="0" applyNumberFormat="1" applyFont="1" applyFill="1" applyBorder="1" applyAlignment="1">
      <alignment horizontal="center" wrapText="1"/>
    </xf>
    <xf numFmtId="2" fontId="22" fillId="58" borderId="12" xfId="0" applyNumberFormat="1" applyFont="1" applyFill="1" applyBorder="1" applyAlignment="1">
      <alignment horizontal="center" wrapText="1"/>
    </xf>
    <xf numFmtId="2" fontId="22" fillId="304" borderId="10" xfId="0" applyNumberFormat="1" applyFont="1" applyFill="1" applyBorder="1" applyAlignment="1">
      <alignment horizontal="center" wrapText="1"/>
    </xf>
    <xf numFmtId="2" fontId="22" fillId="43" borderId="12" xfId="0" applyNumberFormat="1" applyFont="1" applyFill="1" applyBorder="1" applyAlignment="1">
      <alignment horizontal="center" wrapText="1"/>
    </xf>
    <xf numFmtId="2" fontId="22" fillId="348" borderId="12" xfId="0" applyNumberFormat="1" applyFont="1" applyFill="1" applyBorder="1" applyAlignment="1">
      <alignment horizontal="center" wrapText="1"/>
    </xf>
    <xf numFmtId="2" fontId="22" fillId="143" borderId="12" xfId="0" applyNumberFormat="1" applyFont="1" applyFill="1" applyBorder="1" applyAlignment="1">
      <alignment horizontal="center" wrapText="1"/>
    </xf>
    <xf numFmtId="2" fontId="22" fillId="191" borderId="10" xfId="0" applyNumberFormat="1" applyFont="1" applyFill="1" applyBorder="1" applyAlignment="1">
      <alignment horizontal="center" wrapText="1"/>
    </xf>
    <xf numFmtId="2" fontId="22" fillId="86" borderId="12" xfId="0" applyNumberFormat="1" applyFont="1" applyFill="1" applyBorder="1" applyAlignment="1">
      <alignment horizontal="center" wrapText="1"/>
    </xf>
    <xf numFmtId="2" fontId="22" fillId="487" borderId="10" xfId="0" applyNumberFormat="1" applyFont="1" applyFill="1" applyBorder="1" applyAlignment="1">
      <alignment horizontal="center" wrapText="1"/>
    </xf>
    <xf numFmtId="2" fontId="22" fillId="120" borderId="12" xfId="0" applyNumberFormat="1" applyFont="1" applyFill="1" applyBorder="1" applyAlignment="1">
      <alignment horizontal="center" wrapText="1"/>
    </xf>
    <xf numFmtId="2" fontId="22" fillId="337" borderId="10" xfId="0" applyNumberFormat="1" applyFont="1" applyFill="1" applyBorder="1" applyAlignment="1">
      <alignment horizontal="center" wrapText="1"/>
    </xf>
    <xf numFmtId="2" fontId="22" fillId="85" borderId="12" xfId="0" applyNumberFormat="1" applyFont="1" applyFill="1" applyBorder="1" applyAlignment="1">
      <alignment horizontal="center" wrapText="1"/>
    </xf>
    <xf numFmtId="2" fontId="22" fillId="50" borderId="12" xfId="0" applyNumberFormat="1" applyFont="1" applyFill="1" applyBorder="1" applyAlignment="1">
      <alignment horizontal="center" wrapText="1"/>
    </xf>
    <xf numFmtId="2" fontId="22" fillId="264" borderId="10" xfId="0" applyNumberFormat="1" applyFont="1" applyFill="1" applyBorder="1" applyAlignment="1">
      <alignment horizontal="center" wrapText="1"/>
    </xf>
    <xf numFmtId="2" fontId="22" fillId="150" borderId="12" xfId="0" applyNumberFormat="1" applyFont="1" applyFill="1" applyBorder="1" applyAlignment="1">
      <alignment horizontal="center" wrapText="1"/>
    </xf>
    <xf numFmtId="2" fontId="22" fillId="196" borderId="10" xfId="0" applyNumberFormat="1" applyFont="1" applyFill="1" applyBorder="1" applyAlignment="1">
      <alignment horizontal="center" wrapText="1"/>
    </xf>
    <xf numFmtId="2" fontId="22" fillId="265" borderId="12" xfId="0" applyNumberFormat="1" applyFont="1" applyFill="1" applyBorder="1" applyAlignment="1">
      <alignment horizontal="center" wrapText="1"/>
    </xf>
    <xf numFmtId="2" fontId="22" fillId="276" borderId="10" xfId="0" applyNumberFormat="1" applyFont="1" applyFill="1" applyBorder="1" applyAlignment="1">
      <alignment horizontal="center" wrapText="1"/>
    </xf>
    <xf numFmtId="2" fontId="22" fillId="437" borderId="12" xfId="0" applyNumberFormat="1" applyFont="1" applyFill="1" applyBorder="1" applyAlignment="1">
      <alignment horizontal="center" wrapText="1"/>
    </xf>
    <xf numFmtId="2" fontId="22" fillId="185" borderId="12" xfId="0" applyNumberFormat="1" applyFont="1" applyFill="1" applyBorder="1" applyAlignment="1">
      <alignment horizontal="center" wrapText="1"/>
    </xf>
    <xf numFmtId="2" fontId="22" fillId="445" borderId="10" xfId="0" applyNumberFormat="1" applyFont="1" applyFill="1" applyBorder="1" applyAlignment="1">
      <alignment horizontal="center" wrapText="1"/>
    </xf>
    <xf numFmtId="2" fontId="22" fillId="299" borderId="12" xfId="0" applyNumberFormat="1" applyFont="1" applyFill="1" applyBorder="1" applyAlignment="1">
      <alignment horizontal="center" wrapText="1"/>
    </xf>
    <xf numFmtId="2" fontId="22" fillId="443" borderId="12" xfId="0" applyNumberFormat="1" applyFont="1" applyFill="1" applyBorder="1" applyAlignment="1">
      <alignment horizontal="center" wrapText="1"/>
    </xf>
    <xf numFmtId="2" fontId="22" fillId="491" borderId="10" xfId="0" applyNumberFormat="1" applyFont="1" applyFill="1" applyBorder="1" applyAlignment="1">
      <alignment horizontal="center" wrapText="1"/>
    </xf>
    <xf numFmtId="2" fontId="22" fillId="251" borderId="12" xfId="0" applyNumberFormat="1" applyFont="1" applyFill="1" applyBorder="1" applyAlignment="1">
      <alignment horizontal="center" wrapText="1"/>
    </xf>
    <xf numFmtId="2" fontId="22" fillId="279" borderId="10" xfId="0" applyNumberFormat="1" applyFont="1" applyFill="1" applyBorder="1" applyAlignment="1">
      <alignment horizontal="center" wrapText="1"/>
    </xf>
    <xf numFmtId="2" fontId="22" fillId="485" borderId="12" xfId="0" applyNumberFormat="1" applyFont="1" applyFill="1" applyBorder="1" applyAlignment="1">
      <alignment horizontal="center" wrapText="1"/>
    </xf>
    <xf numFmtId="2" fontId="22" fillId="421" borderId="10" xfId="0" applyNumberFormat="1" applyFont="1" applyFill="1" applyBorder="1" applyAlignment="1">
      <alignment horizontal="center" wrapText="1"/>
    </xf>
    <xf numFmtId="2" fontId="22" fillId="246" borderId="10" xfId="0" applyNumberFormat="1" applyFont="1" applyFill="1" applyBorder="1" applyAlignment="1">
      <alignment horizontal="center" wrapText="1"/>
    </xf>
    <xf numFmtId="2" fontId="22" fillId="103" borderId="12" xfId="0" applyNumberFormat="1" applyFont="1" applyFill="1" applyBorder="1" applyAlignment="1">
      <alignment horizontal="center" wrapText="1"/>
    </xf>
    <xf numFmtId="2" fontId="22" fillId="460" borderId="12" xfId="0" applyNumberFormat="1" applyFont="1" applyFill="1" applyBorder="1" applyAlignment="1">
      <alignment horizontal="center" wrapText="1"/>
    </xf>
    <xf numFmtId="2" fontId="22" fillId="492" borderId="12" xfId="0" applyNumberFormat="1" applyFont="1" applyFill="1" applyBorder="1" applyAlignment="1">
      <alignment horizontal="center" wrapText="1"/>
    </xf>
    <xf numFmtId="2" fontId="22" fillId="322" borderId="12" xfId="0" applyNumberFormat="1" applyFont="1" applyFill="1" applyBorder="1" applyAlignment="1">
      <alignment horizontal="center" wrapText="1"/>
    </xf>
    <xf numFmtId="2" fontId="22" fillId="59" borderId="10" xfId="0" applyNumberFormat="1" applyFont="1" applyFill="1" applyBorder="1" applyAlignment="1">
      <alignment horizontal="center" wrapText="1"/>
    </xf>
    <xf numFmtId="2" fontId="22" fillId="166" borderId="12" xfId="0" applyNumberFormat="1" applyFont="1" applyFill="1" applyBorder="1" applyAlignment="1">
      <alignment horizontal="center" wrapText="1"/>
    </xf>
    <xf numFmtId="2" fontId="22" fillId="141" borderId="10" xfId="0" applyNumberFormat="1" applyFont="1" applyFill="1" applyBorder="1" applyAlignment="1">
      <alignment horizontal="center" wrapText="1"/>
    </xf>
    <xf numFmtId="2" fontId="22" fillId="328" borderId="12" xfId="0" applyNumberFormat="1" applyFont="1" applyFill="1" applyBorder="1" applyAlignment="1">
      <alignment horizontal="center" wrapText="1"/>
    </xf>
    <xf numFmtId="2" fontId="22" fillId="156" borderId="10" xfId="0" applyNumberFormat="1" applyFont="1" applyFill="1" applyBorder="1" applyAlignment="1">
      <alignment horizontal="center" wrapText="1"/>
    </xf>
    <xf numFmtId="2" fontId="22" fillId="421" borderId="12" xfId="0" applyNumberFormat="1" applyFont="1" applyFill="1" applyBorder="1" applyAlignment="1">
      <alignment horizontal="center" wrapText="1"/>
    </xf>
    <xf numFmtId="2" fontId="22" fillId="488" borderId="12" xfId="0" applyNumberFormat="1" applyFont="1" applyFill="1" applyBorder="1" applyAlignment="1">
      <alignment horizontal="center" wrapText="1"/>
    </xf>
    <xf numFmtId="2" fontId="22" fillId="214" borderId="10" xfId="0" applyNumberFormat="1" applyFont="1" applyFill="1" applyBorder="1" applyAlignment="1">
      <alignment horizontal="center" wrapText="1"/>
    </xf>
    <xf numFmtId="2" fontId="22" fillId="40" borderId="12" xfId="0" applyNumberFormat="1" applyFont="1" applyFill="1" applyBorder="1" applyAlignment="1">
      <alignment horizontal="center" wrapText="1"/>
    </xf>
    <xf numFmtId="2" fontId="22" fillId="81" borderId="12" xfId="0" applyNumberFormat="1" applyFont="1" applyFill="1" applyBorder="1" applyAlignment="1">
      <alignment horizontal="center" wrapText="1"/>
    </xf>
    <xf numFmtId="2" fontId="22" fillId="50" borderId="10" xfId="0" applyNumberFormat="1" applyFont="1" applyFill="1" applyBorder="1" applyAlignment="1">
      <alignment horizontal="center" wrapText="1"/>
    </xf>
    <xf numFmtId="2" fontId="22" fillId="456" borderId="12" xfId="0" applyNumberFormat="1" applyFont="1" applyFill="1" applyBorder="1" applyAlignment="1">
      <alignment horizontal="center" wrapText="1"/>
    </xf>
    <xf numFmtId="2" fontId="22" fillId="337" borderId="12" xfId="0" applyNumberFormat="1" applyFont="1" applyFill="1" applyBorder="1" applyAlignment="1">
      <alignment horizontal="center" wrapText="1"/>
    </xf>
    <xf numFmtId="2" fontId="22" fillId="130" borderId="12" xfId="0" applyNumberFormat="1" applyFont="1" applyFill="1" applyBorder="1" applyAlignment="1">
      <alignment horizontal="center" wrapText="1"/>
    </xf>
    <xf numFmtId="2" fontId="22" fillId="215" borderId="12" xfId="0" applyNumberFormat="1" applyFont="1" applyFill="1" applyBorder="1" applyAlignment="1">
      <alignment horizontal="center" wrapText="1"/>
    </xf>
    <xf numFmtId="2" fontId="22" fillId="89" borderId="10" xfId="0" applyNumberFormat="1" applyFont="1" applyFill="1" applyBorder="1" applyAlignment="1">
      <alignment horizontal="center" wrapText="1"/>
    </xf>
    <xf numFmtId="2" fontId="22" fillId="42" borderId="12" xfId="0" applyNumberFormat="1" applyFont="1" applyFill="1" applyBorder="1" applyAlignment="1">
      <alignment horizontal="center" wrapText="1"/>
    </xf>
    <xf numFmtId="2" fontId="22" fillId="54" borderId="12" xfId="0" applyNumberFormat="1" applyFont="1" applyFill="1" applyBorder="1" applyAlignment="1">
      <alignment horizontal="center" wrapText="1"/>
    </xf>
    <xf numFmtId="2" fontId="22" fillId="180" borderId="12" xfId="0" applyNumberFormat="1" applyFont="1" applyFill="1" applyBorder="1" applyAlignment="1">
      <alignment horizontal="center" wrapText="1"/>
    </xf>
    <xf numFmtId="2" fontId="22" fillId="164" borderId="10" xfId="0" applyNumberFormat="1" applyFont="1" applyFill="1" applyBorder="1" applyAlignment="1">
      <alignment horizontal="center" wrapText="1"/>
    </xf>
    <xf numFmtId="2" fontId="22" fillId="286" borderId="12" xfId="0" applyNumberFormat="1" applyFont="1" applyFill="1" applyBorder="1" applyAlignment="1">
      <alignment horizontal="center" wrapText="1"/>
    </xf>
    <xf numFmtId="2" fontId="22" fillId="61" borderId="10" xfId="0" applyNumberFormat="1" applyFont="1" applyFill="1" applyBorder="1" applyAlignment="1">
      <alignment horizontal="center" wrapText="1"/>
    </xf>
    <xf numFmtId="2" fontId="22" fillId="125" borderId="12" xfId="0" applyNumberFormat="1" applyFont="1" applyFill="1" applyBorder="1" applyAlignment="1">
      <alignment horizontal="center" wrapText="1"/>
    </xf>
    <xf numFmtId="2" fontId="22" fillId="306" borderId="12" xfId="0" applyNumberFormat="1" applyFont="1" applyFill="1" applyBorder="1" applyAlignment="1">
      <alignment horizontal="center" wrapText="1"/>
    </xf>
    <xf numFmtId="2" fontId="22" fillId="56" borderId="12" xfId="0" applyNumberFormat="1" applyFont="1" applyFill="1" applyBorder="1" applyAlignment="1">
      <alignment horizontal="center" wrapText="1"/>
    </xf>
    <xf numFmtId="2" fontId="22" fillId="406" borderId="10" xfId="0" applyNumberFormat="1" applyFont="1" applyFill="1" applyBorder="1" applyAlignment="1">
      <alignment horizontal="center" wrapText="1"/>
    </xf>
    <xf numFmtId="2" fontId="22" fillId="112" borderId="12" xfId="0" applyNumberFormat="1" applyFont="1" applyFill="1" applyBorder="1" applyAlignment="1">
      <alignment horizontal="center" wrapText="1"/>
    </xf>
    <xf numFmtId="2" fontId="22" fillId="455" borderId="10" xfId="0" applyNumberFormat="1" applyFont="1" applyFill="1" applyBorder="1" applyAlignment="1">
      <alignment horizontal="center" wrapText="1"/>
    </xf>
    <xf numFmtId="2" fontId="22" fillId="69" borderId="12" xfId="0" applyNumberFormat="1" applyFont="1" applyFill="1" applyBorder="1" applyAlignment="1">
      <alignment horizontal="center" wrapText="1"/>
    </xf>
    <xf numFmtId="2" fontId="22" fillId="488" borderId="10" xfId="0" applyNumberFormat="1" applyFont="1" applyFill="1" applyBorder="1" applyAlignment="1">
      <alignment horizontal="center" wrapText="1"/>
    </xf>
    <xf numFmtId="2" fontId="22" fillId="166" borderId="10" xfId="0" applyNumberFormat="1" applyFont="1" applyFill="1" applyBorder="1" applyAlignment="1">
      <alignment horizontal="center" wrapText="1"/>
    </xf>
    <xf numFmtId="2" fontId="22" fillId="468" borderId="10" xfId="0" applyNumberFormat="1" applyFont="1" applyFill="1" applyBorder="1" applyAlignment="1">
      <alignment horizontal="center" wrapText="1"/>
    </xf>
    <xf numFmtId="2" fontId="22" fillId="141" borderId="12" xfId="0" applyNumberFormat="1" applyFont="1" applyFill="1" applyBorder="1" applyAlignment="1">
      <alignment horizontal="center" wrapText="1"/>
    </xf>
    <xf numFmtId="2" fontId="22" fillId="171" borderId="12" xfId="0" applyNumberFormat="1" applyFont="1" applyFill="1" applyBorder="1" applyAlignment="1">
      <alignment horizontal="center" wrapText="1"/>
    </xf>
    <xf numFmtId="2" fontId="22" fillId="150" borderId="10" xfId="0" applyNumberFormat="1" applyFont="1" applyFill="1" applyBorder="1" applyAlignment="1">
      <alignment horizontal="center" wrapText="1"/>
    </xf>
    <xf numFmtId="2" fontId="22" fillId="106" borderId="12" xfId="0" applyNumberFormat="1" applyFont="1" applyFill="1" applyBorder="1" applyAlignment="1">
      <alignment horizontal="center" wrapText="1"/>
    </xf>
    <xf numFmtId="2" fontId="22" fillId="369" borderId="10" xfId="0" applyNumberFormat="1" applyFont="1" applyFill="1" applyBorder="1" applyAlignment="1">
      <alignment horizontal="center" wrapText="1"/>
    </xf>
    <xf numFmtId="2" fontId="22" fillId="73" borderId="10" xfId="0" applyNumberFormat="1" applyFont="1" applyFill="1" applyBorder="1" applyAlignment="1">
      <alignment horizontal="center" wrapText="1"/>
    </xf>
    <xf numFmtId="2" fontId="22" fillId="137" borderId="10" xfId="0" applyNumberFormat="1" applyFont="1" applyFill="1" applyBorder="1" applyAlignment="1">
      <alignment horizontal="center" wrapText="1"/>
    </xf>
    <xf numFmtId="2" fontId="22" fillId="367" borderId="12" xfId="0" applyNumberFormat="1" applyFont="1" applyFill="1" applyBorder="1" applyAlignment="1">
      <alignment horizontal="center" wrapText="1"/>
    </xf>
    <xf numFmtId="2" fontId="22" fillId="263" borderId="12" xfId="0" applyNumberFormat="1" applyFont="1" applyFill="1" applyBorder="1" applyAlignment="1">
      <alignment horizontal="center" wrapText="1"/>
    </xf>
    <xf numFmtId="2" fontId="22" fillId="165" borderId="10" xfId="0" applyNumberFormat="1" applyFont="1" applyFill="1" applyBorder="1" applyAlignment="1">
      <alignment horizontal="center" wrapText="1"/>
    </xf>
    <xf numFmtId="2" fontId="22" fillId="53" borderId="12" xfId="0" applyNumberFormat="1" applyFont="1" applyFill="1" applyBorder="1" applyAlignment="1">
      <alignment horizontal="center" wrapText="1"/>
    </xf>
    <xf numFmtId="2" fontId="22" fillId="243" borderId="12" xfId="0" applyNumberFormat="1" applyFont="1" applyFill="1" applyBorder="1" applyAlignment="1">
      <alignment horizontal="center" wrapText="1"/>
    </xf>
    <xf numFmtId="2" fontId="22" fillId="247" borderId="10" xfId="0" applyNumberFormat="1" applyFont="1" applyFill="1" applyBorder="1" applyAlignment="1">
      <alignment horizontal="center" wrapText="1"/>
    </xf>
    <xf numFmtId="2" fontId="22" fillId="67" borderId="12" xfId="0" applyNumberFormat="1" applyFont="1" applyFill="1" applyBorder="1" applyAlignment="1">
      <alignment horizontal="center" wrapText="1"/>
    </xf>
    <xf numFmtId="2" fontId="22" fillId="142" borderId="12" xfId="0" applyNumberFormat="1" applyFont="1" applyFill="1" applyBorder="1" applyAlignment="1">
      <alignment horizontal="center" wrapText="1"/>
    </xf>
    <xf numFmtId="2" fontId="22" fillId="326" borderId="12" xfId="0" applyNumberFormat="1" applyFont="1" applyFill="1" applyBorder="1" applyAlignment="1">
      <alignment horizontal="center" wrapText="1"/>
    </xf>
    <xf numFmtId="2" fontId="22" fillId="172" borderId="12" xfId="0" applyNumberFormat="1" applyFont="1" applyFill="1" applyBorder="1" applyAlignment="1">
      <alignment horizontal="center" wrapText="1"/>
    </xf>
    <xf numFmtId="2" fontId="22" fillId="203" borderId="10" xfId="0" applyNumberFormat="1" applyFont="1" applyFill="1" applyBorder="1" applyAlignment="1">
      <alignment horizontal="center" wrapText="1"/>
    </xf>
    <xf numFmtId="2" fontId="22" fillId="70" borderId="10" xfId="0" applyNumberFormat="1" applyFont="1" applyFill="1" applyBorder="1" applyAlignment="1">
      <alignment horizontal="center" wrapText="1"/>
    </xf>
    <xf numFmtId="2" fontId="22" fillId="75" borderId="12" xfId="0" applyNumberFormat="1" applyFont="1" applyFill="1" applyBorder="1" applyAlignment="1">
      <alignment horizontal="center" wrapText="1"/>
    </xf>
    <xf numFmtId="2" fontId="22" fillId="335" borderId="10" xfId="0" applyNumberFormat="1" applyFont="1" applyFill="1" applyBorder="1" applyAlignment="1">
      <alignment horizontal="center" wrapText="1"/>
    </xf>
    <xf numFmtId="2" fontId="22" fillId="221" borderId="12" xfId="0" applyNumberFormat="1" applyFont="1" applyFill="1" applyBorder="1" applyAlignment="1">
      <alignment horizontal="center" wrapText="1"/>
    </xf>
    <xf numFmtId="2" fontId="22" fillId="342" borderId="10" xfId="0" applyNumberFormat="1" applyFont="1" applyFill="1" applyBorder="1" applyAlignment="1">
      <alignment horizontal="center" wrapText="1"/>
    </xf>
    <xf numFmtId="2" fontId="22" fillId="361" borderId="12" xfId="0" applyNumberFormat="1" applyFont="1" applyFill="1" applyBorder="1" applyAlignment="1">
      <alignment horizontal="center" wrapText="1"/>
    </xf>
    <xf numFmtId="2" fontId="22" fillId="92" borderId="12" xfId="0" applyNumberFormat="1" applyFont="1" applyFill="1" applyBorder="1" applyAlignment="1">
      <alignment horizontal="center" wrapText="1"/>
    </xf>
    <xf numFmtId="2" fontId="22" fillId="149" borderId="12" xfId="0" applyNumberFormat="1" applyFont="1" applyFill="1" applyBorder="1" applyAlignment="1">
      <alignment horizontal="center" wrapText="1"/>
    </xf>
    <xf numFmtId="2" fontId="22" fillId="258" borderId="12" xfId="0" applyNumberFormat="1" applyFont="1" applyFill="1" applyBorder="1" applyAlignment="1">
      <alignment horizontal="center" wrapText="1"/>
    </xf>
    <xf numFmtId="2" fontId="22" fillId="356" borderId="10" xfId="0" applyNumberFormat="1" applyFont="1" applyFill="1" applyBorder="1" applyAlignment="1">
      <alignment horizontal="center" wrapText="1"/>
    </xf>
    <xf numFmtId="2" fontId="22" fillId="218" borderId="12" xfId="0" applyNumberFormat="1" applyFont="1" applyFill="1" applyBorder="1" applyAlignment="1">
      <alignment horizontal="center" wrapText="1"/>
    </xf>
    <xf numFmtId="2" fontId="22" fillId="331" borderId="10" xfId="0" applyNumberFormat="1" applyFont="1" applyFill="1" applyBorder="1" applyAlignment="1">
      <alignment horizontal="center" wrapText="1"/>
    </xf>
    <xf numFmtId="2" fontId="22" fillId="441" borderId="10" xfId="0" applyNumberFormat="1" applyFont="1" applyFill="1" applyBorder="1" applyAlignment="1">
      <alignment horizontal="center" wrapText="1"/>
    </xf>
    <xf numFmtId="2" fontId="22" fillId="201" borderId="12" xfId="0" applyNumberFormat="1" applyFont="1" applyFill="1" applyBorder="1" applyAlignment="1">
      <alignment horizontal="center" wrapText="1"/>
    </xf>
    <xf numFmtId="2" fontId="22" fillId="340" borderId="12" xfId="0" applyNumberFormat="1" applyFont="1" applyFill="1" applyBorder="1" applyAlignment="1">
      <alignment horizontal="center" wrapText="1"/>
    </xf>
    <xf numFmtId="2" fontId="22" fillId="265" borderId="10" xfId="0" applyNumberFormat="1" applyFont="1" applyFill="1" applyBorder="1" applyAlignment="1">
      <alignment horizontal="center" wrapText="1"/>
    </xf>
    <xf numFmtId="2" fontId="22" fillId="46" borderId="12" xfId="0" applyNumberFormat="1" applyFont="1" applyFill="1" applyBorder="1" applyAlignment="1">
      <alignment horizontal="center" wrapText="1"/>
    </xf>
    <xf numFmtId="2" fontId="22" fillId="186" borderId="12" xfId="0" applyNumberFormat="1" applyFont="1" applyFill="1" applyBorder="1" applyAlignment="1">
      <alignment horizontal="center" wrapText="1"/>
    </xf>
    <xf numFmtId="2" fontId="22" fillId="253" borderId="10" xfId="0" applyNumberFormat="1" applyFont="1" applyFill="1" applyBorder="1" applyAlignment="1">
      <alignment horizontal="center" wrapText="1"/>
    </xf>
    <xf numFmtId="2" fontId="22" fillId="434" borderId="12" xfId="0" applyNumberFormat="1" applyFont="1" applyFill="1" applyBorder="1" applyAlignment="1">
      <alignment horizontal="center" wrapText="1"/>
    </xf>
    <xf numFmtId="2" fontId="22" fillId="143" borderId="10" xfId="0" applyNumberFormat="1" applyFont="1" applyFill="1" applyBorder="1" applyAlignment="1">
      <alignment horizontal="center" wrapText="1"/>
    </xf>
    <xf numFmtId="2" fontId="22" fillId="246" borderId="12" xfId="0" applyNumberFormat="1" applyFont="1" applyFill="1" applyBorder="1" applyAlignment="1">
      <alignment horizontal="center" wrapText="1"/>
    </xf>
    <xf numFmtId="2" fontId="22" fillId="235" borderId="12" xfId="0" applyNumberFormat="1" applyFont="1" applyFill="1" applyBorder="1" applyAlignment="1">
      <alignment horizontal="center" wrapText="1"/>
    </xf>
    <xf numFmtId="2" fontId="22" fillId="213" borderId="12" xfId="0" applyNumberFormat="1" applyFont="1" applyFill="1" applyBorder="1" applyAlignment="1">
      <alignment horizontal="center" wrapText="1"/>
    </xf>
    <xf numFmtId="2" fontId="22" fillId="74" borderId="10" xfId="0" applyNumberFormat="1" applyFont="1" applyFill="1" applyBorder="1" applyAlignment="1">
      <alignment horizontal="center" wrapText="1"/>
    </xf>
    <xf numFmtId="2" fontId="22" fillId="323" borderId="12" xfId="0" applyNumberFormat="1" applyFont="1" applyFill="1" applyBorder="1" applyAlignment="1">
      <alignment horizontal="center" wrapText="1"/>
    </xf>
    <xf numFmtId="2" fontId="22" fillId="289" borderId="10" xfId="0" applyNumberFormat="1" applyFont="1" applyFill="1" applyBorder="1" applyAlignment="1">
      <alignment horizontal="center" wrapText="1"/>
    </xf>
    <xf numFmtId="2" fontId="22" fillId="198" borderId="10" xfId="0" applyNumberFormat="1" applyFont="1" applyFill="1" applyBorder="1" applyAlignment="1">
      <alignment horizontal="center" wrapText="1"/>
    </xf>
    <xf numFmtId="2" fontId="22" fillId="48" borderId="12" xfId="0" applyNumberFormat="1" applyFont="1" applyFill="1" applyBorder="1" applyAlignment="1">
      <alignment horizontal="center" wrapText="1"/>
    </xf>
    <xf numFmtId="2" fontId="22" fillId="112" borderId="10" xfId="0" applyNumberFormat="1" applyFont="1" applyFill="1" applyBorder="1" applyAlignment="1">
      <alignment horizontal="center" wrapText="1"/>
    </xf>
    <xf numFmtId="2" fontId="22" fillId="156" borderId="12" xfId="0" applyNumberFormat="1" applyFont="1" applyFill="1" applyBorder="1" applyAlignment="1">
      <alignment horizontal="center" wrapText="1"/>
    </xf>
    <xf numFmtId="2" fontId="22" fillId="145" borderId="10" xfId="0" applyNumberFormat="1" applyFont="1" applyFill="1" applyBorder="1" applyAlignment="1">
      <alignment horizontal="center" wrapText="1"/>
    </xf>
    <xf numFmtId="2" fontId="22" fillId="38" borderId="10" xfId="0" applyNumberFormat="1" applyFont="1" applyFill="1" applyBorder="1" applyAlignment="1">
      <alignment horizontal="center" wrapText="1"/>
    </xf>
    <xf numFmtId="2" fontId="22" fillId="500" borderId="12" xfId="0" applyNumberFormat="1" applyFont="1" applyFill="1" applyBorder="1" applyAlignment="1">
      <alignment horizontal="center" wrapText="1"/>
    </xf>
    <xf numFmtId="2" fontId="22" fillId="234" borderId="12" xfId="0" applyNumberFormat="1" applyFont="1" applyFill="1" applyBorder="1" applyAlignment="1">
      <alignment horizontal="center" wrapText="1"/>
    </xf>
    <xf numFmtId="2" fontId="22" fillId="292" borderId="12" xfId="0" applyNumberFormat="1" applyFont="1" applyFill="1" applyBorder="1" applyAlignment="1">
      <alignment horizontal="center" wrapText="1"/>
    </xf>
    <xf numFmtId="2" fontId="22" fillId="496" borderId="12" xfId="0" applyNumberFormat="1" applyFont="1" applyFill="1" applyBorder="1" applyAlignment="1">
      <alignment horizontal="center" wrapText="1"/>
    </xf>
    <xf numFmtId="2" fontId="22" fillId="163" borderId="12" xfId="0" applyNumberFormat="1" applyFont="1" applyFill="1" applyBorder="1" applyAlignment="1">
      <alignment horizontal="center" wrapText="1"/>
    </xf>
    <xf numFmtId="2" fontId="22" fillId="494" borderId="12" xfId="0" applyNumberFormat="1" applyFont="1" applyFill="1" applyBorder="1" applyAlignment="1">
      <alignment horizontal="center" wrapText="1"/>
    </xf>
    <xf numFmtId="2" fontId="22" fillId="297" borderId="12" xfId="0" applyNumberFormat="1" applyFont="1" applyFill="1" applyBorder="1" applyAlignment="1">
      <alignment horizontal="center" wrapText="1"/>
    </xf>
    <xf numFmtId="2" fontId="22" fillId="424" borderId="12" xfId="0" applyNumberFormat="1" applyFont="1" applyFill="1" applyBorder="1" applyAlignment="1">
      <alignment horizontal="center" wrapText="1"/>
    </xf>
    <xf numFmtId="2" fontId="22" fillId="127" borderId="12" xfId="0" applyNumberFormat="1" applyFont="1" applyFill="1" applyBorder="1" applyAlignment="1">
      <alignment horizontal="center" wrapText="1"/>
    </xf>
    <xf numFmtId="2" fontId="22" fillId="155" borderId="12" xfId="0" applyNumberFormat="1" applyFont="1" applyFill="1" applyBorder="1" applyAlignment="1">
      <alignment horizontal="center" wrapText="1"/>
    </xf>
    <xf numFmtId="2" fontId="22" fillId="136" borderId="12" xfId="0" applyNumberFormat="1" applyFont="1" applyFill="1" applyBorder="1" applyAlignment="1">
      <alignment horizontal="center" wrapText="1"/>
    </xf>
    <xf numFmtId="2" fontId="22" fillId="220" borderId="12" xfId="0" applyNumberFormat="1" applyFont="1" applyFill="1" applyBorder="1" applyAlignment="1">
      <alignment horizontal="center" wrapText="1"/>
    </xf>
    <xf numFmtId="2" fontId="22" fillId="78" borderId="10" xfId="0" applyNumberFormat="1" applyFont="1" applyFill="1" applyBorder="1" applyAlignment="1">
      <alignment horizontal="center" wrapText="1"/>
    </xf>
    <xf numFmtId="2" fontId="22" fillId="157" borderId="12" xfId="0" applyNumberFormat="1" applyFont="1" applyFill="1" applyBorder="1" applyAlignment="1">
      <alignment horizontal="center" wrapText="1"/>
    </xf>
    <xf numFmtId="2" fontId="22" fillId="137" borderId="12" xfId="0" applyNumberFormat="1" applyFont="1" applyFill="1" applyBorder="1" applyAlignment="1">
      <alignment horizontal="center" wrapText="1"/>
    </xf>
    <xf numFmtId="2" fontId="22" fillId="60" borderId="12" xfId="0" applyNumberFormat="1" applyFont="1" applyFill="1" applyBorder="1" applyAlignment="1">
      <alignment horizontal="center" wrapText="1"/>
    </xf>
    <xf numFmtId="2" fontId="22" fillId="438" borderId="12" xfId="0" applyNumberFormat="1" applyFont="1" applyFill="1" applyBorder="1" applyAlignment="1">
      <alignment horizontal="center" wrapText="1"/>
    </xf>
    <xf numFmtId="2" fontId="22" fillId="162" borderId="12" xfId="0" applyNumberFormat="1" applyFont="1" applyFill="1" applyBorder="1" applyAlignment="1">
      <alignment horizontal="center" wrapText="1"/>
    </xf>
    <xf numFmtId="2" fontId="22" fillId="247" borderId="12" xfId="0" applyNumberFormat="1" applyFont="1" applyFill="1" applyBorder="1" applyAlignment="1">
      <alignment horizontal="center" wrapText="1"/>
    </xf>
    <xf numFmtId="2" fontId="22" fillId="322" borderId="10" xfId="0" applyNumberFormat="1" applyFont="1" applyFill="1" applyBorder="1" applyAlignment="1">
      <alignment horizontal="center" wrapText="1"/>
    </xf>
    <xf numFmtId="2" fontId="22" fillId="381" borderId="12" xfId="0" applyNumberFormat="1" applyFont="1" applyFill="1" applyBorder="1" applyAlignment="1">
      <alignment horizontal="center" wrapText="1"/>
    </xf>
    <xf numFmtId="2" fontId="22" fillId="285" borderId="12" xfId="0" applyNumberFormat="1" applyFont="1" applyFill="1" applyBorder="1" applyAlignment="1">
      <alignment horizontal="center" wrapText="1"/>
    </xf>
    <xf numFmtId="2" fontId="22" fillId="308" borderId="12" xfId="0" applyNumberFormat="1" applyFont="1" applyFill="1" applyBorder="1" applyAlignment="1">
      <alignment horizontal="center" wrapText="1"/>
    </xf>
    <xf numFmtId="2" fontId="22" fillId="355" borderId="12" xfId="0" applyNumberFormat="1" applyFont="1" applyFill="1" applyBorder="1" applyAlignment="1">
      <alignment horizontal="center" wrapText="1"/>
    </xf>
    <xf numFmtId="2" fontId="22" fillId="215" borderId="10" xfId="0" applyNumberFormat="1" applyFont="1" applyFill="1" applyBorder="1" applyAlignment="1">
      <alignment horizontal="center" wrapText="1"/>
    </xf>
    <xf numFmtId="2" fontId="22" fillId="249" borderId="10" xfId="0" applyNumberFormat="1" applyFont="1" applyFill="1" applyBorder="1" applyAlignment="1">
      <alignment horizontal="center" wrapText="1"/>
    </xf>
    <xf numFmtId="2" fontId="22" fillId="346" borderId="12" xfId="0" applyNumberFormat="1" applyFont="1" applyFill="1" applyBorder="1" applyAlignment="1">
      <alignment horizontal="center" wrapText="1"/>
    </xf>
    <xf numFmtId="2" fontId="22" fillId="106" borderId="10" xfId="0" applyNumberFormat="1" applyFont="1" applyFill="1" applyBorder="1" applyAlignment="1">
      <alignment horizontal="center" wrapText="1"/>
    </xf>
    <xf numFmtId="2" fontId="22" fillId="86" borderId="10" xfId="0" applyNumberFormat="1" applyFont="1" applyFill="1" applyBorder="1" applyAlignment="1">
      <alignment horizontal="center" wrapText="1"/>
    </xf>
    <xf numFmtId="2" fontId="22" fillId="321" borderId="10" xfId="0" applyNumberFormat="1" applyFont="1" applyFill="1" applyBorder="1" applyAlignment="1">
      <alignment horizontal="center" wrapText="1"/>
    </xf>
    <xf numFmtId="2" fontId="22" fillId="68" borderId="12" xfId="0" applyNumberFormat="1" applyFont="1" applyFill="1" applyBorder="1" applyAlignment="1">
      <alignment horizontal="center" wrapText="1"/>
    </xf>
    <xf numFmtId="2" fontId="22" fillId="214" borderId="12" xfId="0" applyNumberFormat="1" applyFont="1" applyFill="1" applyBorder="1" applyAlignment="1">
      <alignment horizontal="center" wrapText="1"/>
    </xf>
    <xf numFmtId="2" fontId="22" fillId="98" borderId="12" xfId="0" applyNumberFormat="1" applyFont="1" applyFill="1" applyBorder="1" applyAlignment="1">
      <alignment horizontal="center" wrapText="1"/>
    </xf>
    <xf numFmtId="2" fontId="22" fillId="225" borderId="12" xfId="0" applyNumberFormat="1" applyFont="1" applyFill="1" applyBorder="1" applyAlignment="1">
      <alignment horizontal="center" wrapText="1"/>
    </xf>
    <xf numFmtId="2" fontId="22" fillId="222" borderId="12" xfId="0" applyNumberFormat="1" applyFont="1" applyFill="1" applyBorder="1" applyAlignment="1">
      <alignment horizontal="center" wrapText="1"/>
    </xf>
    <xf numFmtId="2" fontId="22" fillId="220" borderId="10" xfId="0" applyNumberFormat="1" applyFont="1" applyFill="1" applyBorder="1" applyAlignment="1">
      <alignment horizontal="center" wrapText="1"/>
    </xf>
    <xf numFmtId="2" fontId="22" fillId="237" borderId="12" xfId="0" applyNumberFormat="1" applyFont="1" applyFill="1" applyBorder="1" applyAlignment="1">
      <alignment horizontal="center" wrapText="1"/>
    </xf>
    <xf numFmtId="2" fontId="22" fillId="145" borderId="12" xfId="0" applyNumberFormat="1" applyFont="1" applyFill="1" applyBorder="1" applyAlignment="1">
      <alignment horizontal="center" wrapText="1"/>
    </xf>
    <xf numFmtId="2" fontId="22" fillId="52" borderId="12" xfId="0" applyNumberFormat="1" applyFont="1" applyFill="1" applyBorder="1" applyAlignment="1">
      <alignment horizontal="center" wrapText="1"/>
    </xf>
    <xf numFmtId="2" fontId="22" fillId="99" borderId="12" xfId="0" applyNumberFormat="1" applyFont="1" applyFill="1" applyBorder="1" applyAlignment="1">
      <alignment horizontal="center" wrapText="1"/>
    </xf>
    <xf numFmtId="2" fontId="22" fillId="88" borderId="10" xfId="0" applyNumberFormat="1" applyFont="1" applyFill="1" applyBorder="1" applyAlignment="1">
      <alignment horizontal="center" wrapText="1"/>
    </xf>
    <xf numFmtId="2" fontId="22" fillId="176" borderId="12" xfId="0" applyNumberFormat="1" applyFont="1" applyFill="1" applyBorder="1" applyAlignment="1">
      <alignment horizontal="center" wrapText="1"/>
    </xf>
    <xf numFmtId="2" fontId="22" fillId="126" borderId="12" xfId="0" applyNumberFormat="1" applyFont="1" applyFill="1" applyBorder="1" applyAlignment="1">
      <alignment horizontal="center" wrapText="1"/>
    </xf>
    <xf numFmtId="2" fontId="22" fillId="120" borderId="10" xfId="0" applyNumberFormat="1" applyFont="1" applyFill="1" applyBorder="1" applyAlignment="1">
      <alignment horizontal="center" wrapText="1"/>
    </xf>
    <xf numFmtId="2" fontId="22" fillId="49" borderId="12" xfId="0" applyNumberFormat="1" applyFont="1" applyFill="1" applyBorder="1" applyAlignment="1">
      <alignment horizontal="center" wrapText="1"/>
    </xf>
    <xf numFmtId="2" fontId="22" fillId="369" borderId="12" xfId="0" applyNumberFormat="1" applyFont="1" applyFill="1" applyBorder="1" applyAlignment="1">
      <alignment horizontal="center" wrapText="1"/>
    </xf>
    <xf numFmtId="2" fontId="22" fillId="57" borderId="12" xfId="0" applyNumberFormat="1" applyFont="1" applyFill="1" applyBorder="1" applyAlignment="1">
      <alignment horizontal="center" wrapText="1"/>
    </xf>
    <xf numFmtId="2" fontId="22" fillId="162" borderId="10" xfId="0" applyNumberFormat="1" applyFont="1" applyFill="1" applyBorder="1" applyAlignment="1">
      <alignment horizontal="center" wrapText="1"/>
    </xf>
    <xf numFmtId="2" fontId="22" fillId="87" borderId="12" xfId="0" applyNumberFormat="1" applyFont="1" applyFill="1" applyBorder="1" applyAlignment="1">
      <alignment horizontal="center" wrapText="1"/>
    </xf>
    <xf numFmtId="2" fontId="22" fillId="206" borderId="12" xfId="0" applyNumberFormat="1" applyFont="1" applyFill="1" applyBorder="1" applyAlignment="1">
      <alignment horizontal="center" wrapText="1"/>
    </xf>
    <xf numFmtId="2" fontId="22" fillId="192" borderId="12" xfId="0" applyNumberFormat="1" applyFont="1" applyFill="1" applyBorder="1" applyAlignment="1">
      <alignment horizontal="center" wrapText="1"/>
    </xf>
    <xf numFmtId="2" fontId="22" fillId="79" borderId="12" xfId="0" applyNumberFormat="1" applyFont="1" applyFill="1" applyBorder="1" applyAlignment="1">
      <alignment horizontal="center" wrapText="1"/>
    </xf>
    <xf numFmtId="2" fontId="22" fillId="149" borderId="10" xfId="0" applyNumberFormat="1" applyFont="1" applyFill="1" applyBorder="1" applyAlignment="1">
      <alignment horizontal="center" wrapText="1"/>
    </xf>
    <xf numFmtId="2" fontId="22" fillId="234" borderId="10" xfId="0" applyNumberFormat="1" applyFont="1" applyFill="1" applyBorder="1" applyAlignment="1">
      <alignment horizontal="center" wrapText="1"/>
    </xf>
    <xf numFmtId="2" fontId="22" fillId="144" borderId="12" xfId="0" applyNumberFormat="1" applyFont="1" applyFill="1" applyBorder="1" applyAlignment="1">
      <alignment horizontal="center" wrapText="1"/>
    </xf>
    <xf numFmtId="2" fontId="22" fillId="425" borderId="10" xfId="0" applyNumberFormat="1" applyFont="1" applyFill="1" applyBorder="1" applyAlignment="1">
      <alignment horizontal="center" wrapText="1"/>
    </xf>
    <xf numFmtId="2" fontId="22" fillId="269" borderId="10" xfId="0" applyNumberFormat="1" applyFont="1" applyFill="1" applyBorder="1" applyAlignment="1">
      <alignment horizontal="center" wrapText="1"/>
    </xf>
    <xf numFmtId="2" fontId="22" fillId="333" borderId="12" xfId="0" applyNumberFormat="1" applyFont="1" applyFill="1" applyBorder="1" applyAlignment="1">
      <alignment horizontal="center" wrapText="1"/>
    </xf>
    <xf numFmtId="2" fontId="22" fillId="484" borderId="12" xfId="0" applyNumberFormat="1" applyFont="1" applyFill="1" applyBorder="1" applyAlignment="1">
      <alignment horizontal="center" wrapText="1"/>
    </xf>
    <xf numFmtId="2" fontId="22" fillId="493" borderId="10" xfId="0" applyNumberFormat="1" applyFont="1" applyFill="1" applyBorder="1" applyAlignment="1">
      <alignment horizontal="center" wrapText="1"/>
    </xf>
    <xf numFmtId="2" fontId="22" fillId="520" borderId="0" xfId="0" applyNumberFormat="1" applyFont="1" applyFill="1" applyBorder="1" applyAlignment="1">
      <alignment horizontal="center" wrapText="1"/>
    </xf>
    <xf numFmtId="2" fontId="22" fillId="288" borderId="10" xfId="0" applyNumberFormat="1" applyFont="1" applyFill="1" applyBorder="1" applyAlignment="1">
      <alignment horizontal="center" wrapText="1"/>
    </xf>
    <xf numFmtId="2" fontId="22" fillId="330" borderId="12" xfId="0" applyNumberFormat="1" applyFont="1" applyFill="1" applyBorder="1" applyAlignment="1">
      <alignment horizontal="center" wrapText="1"/>
    </xf>
    <xf numFmtId="2" fontId="22" fillId="405" borderId="10" xfId="0" applyNumberFormat="1" applyFont="1" applyFill="1" applyBorder="1" applyAlignment="1">
      <alignment horizontal="center" wrapText="1"/>
    </xf>
    <xf numFmtId="2" fontId="22" fillId="254" borderId="12" xfId="0" applyNumberFormat="1" applyFont="1" applyFill="1" applyBorder="1" applyAlignment="1">
      <alignment horizontal="center" wrapText="1"/>
    </xf>
    <xf numFmtId="2" fontId="22" fillId="311" borderId="10" xfId="0" applyNumberFormat="1" applyFont="1" applyFill="1" applyBorder="1" applyAlignment="1">
      <alignment horizontal="center" wrapText="1"/>
    </xf>
    <xf numFmtId="2" fontId="22" fillId="240" borderId="12" xfId="0" applyNumberFormat="1" applyFont="1" applyFill="1" applyBorder="1" applyAlignment="1">
      <alignment horizontal="center" wrapText="1"/>
    </xf>
    <xf numFmtId="2" fontId="22" fillId="116" borderId="10" xfId="0" applyNumberFormat="1" applyFont="1" applyFill="1" applyBorder="1" applyAlignment="1">
      <alignment horizontal="center" wrapText="1"/>
    </xf>
    <xf numFmtId="2" fontId="22" fillId="301" borderId="10" xfId="0" applyNumberFormat="1" applyFont="1" applyFill="1" applyBorder="1" applyAlignment="1">
      <alignment horizontal="center" wrapText="1"/>
    </xf>
    <xf numFmtId="2" fontId="22" fillId="370" borderId="10" xfId="0" applyNumberFormat="1" applyFont="1" applyFill="1" applyBorder="1" applyAlignment="1">
      <alignment horizontal="center" wrapText="1"/>
    </xf>
    <xf numFmtId="2" fontId="22" fillId="486" borderId="10" xfId="0" applyNumberFormat="1" applyFont="1" applyFill="1" applyBorder="1" applyAlignment="1">
      <alignment horizontal="center" wrapText="1"/>
    </xf>
    <xf numFmtId="2" fontId="22" fillId="316" borderId="12" xfId="0" applyNumberFormat="1" applyFont="1" applyFill="1" applyBorder="1" applyAlignment="1">
      <alignment horizontal="center" wrapText="1"/>
    </xf>
    <xf numFmtId="2" fontId="22" fillId="73" borderId="12" xfId="0" applyNumberFormat="1" applyFont="1" applyFill="1" applyBorder="1" applyAlignment="1">
      <alignment horizontal="center" wrapText="1"/>
    </xf>
    <xf numFmtId="2" fontId="22" fillId="107" borderId="12" xfId="0" applyNumberFormat="1" applyFont="1" applyFill="1" applyBorder="1" applyAlignment="1">
      <alignment horizontal="center" wrapText="1"/>
    </xf>
    <xf numFmtId="2" fontId="22" fillId="151" borderId="10" xfId="0" applyNumberFormat="1" applyFont="1" applyFill="1" applyBorder="1" applyAlignment="1">
      <alignment horizontal="center" wrapText="1"/>
    </xf>
    <xf numFmtId="2" fontId="22" fillId="125" borderId="10" xfId="0" applyNumberFormat="1" applyFont="1" applyFill="1" applyBorder="1" applyAlignment="1">
      <alignment horizontal="center" wrapText="1"/>
    </xf>
    <xf numFmtId="2" fontId="22" fillId="315" borderId="10" xfId="0" applyNumberFormat="1" applyFont="1" applyFill="1" applyBorder="1" applyAlignment="1">
      <alignment horizontal="center" wrapText="1"/>
    </xf>
    <xf numFmtId="2" fontId="22" fillId="275" borderId="12" xfId="0" applyNumberFormat="1" applyFont="1" applyFill="1" applyBorder="1" applyAlignment="1">
      <alignment horizontal="center" wrapText="1"/>
    </xf>
    <xf numFmtId="2" fontId="22" fillId="319" borderId="12" xfId="0" applyNumberFormat="1" applyFont="1" applyFill="1" applyBorder="1" applyAlignment="1">
      <alignment horizontal="center" wrapText="1"/>
    </xf>
    <xf numFmtId="2" fontId="22" fillId="291" borderId="12" xfId="0" applyNumberFormat="1" applyFont="1" applyFill="1" applyBorder="1" applyAlignment="1">
      <alignment horizontal="center" wrapText="1"/>
    </xf>
    <xf numFmtId="2" fontId="22" fillId="314" borderId="12" xfId="0" applyNumberFormat="1" applyFont="1" applyFill="1" applyBorder="1" applyAlignment="1">
      <alignment horizontal="center" wrapText="1"/>
    </xf>
    <xf numFmtId="2" fontId="22" fillId="501" borderId="12" xfId="0" applyNumberFormat="1" applyFont="1" applyFill="1" applyBorder="1" applyAlignment="1">
      <alignment horizontal="center" wrapText="1"/>
    </xf>
    <xf numFmtId="2" fontId="22" fillId="281" borderId="10" xfId="0" applyNumberFormat="1" applyFont="1" applyFill="1" applyBorder="1" applyAlignment="1">
      <alignment horizontal="center" wrapText="1"/>
    </xf>
    <xf numFmtId="2" fontId="22" fillId="336" borderId="12" xfId="0" applyNumberFormat="1" applyFont="1" applyFill="1" applyBorder="1" applyAlignment="1">
      <alignment horizontal="center" wrapText="1"/>
    </xf>
    <xf numFmtId="2" fontId="22" fillId="513" borderId="10" xfId="0" applyNumberFormat="1" applyFont="1" applyFill="1" applyBorder="1" applyAlignment="1">
      <alignment horizontal="center" wrapText="1"/>
    </xf>
    <xf numFmtId="2" fontId="22" fillId="341" borderId="12" xfId="0" applyNumberFormat="1" applyFont="1" applyFill="1" applyBorder="1" applyAlignment="1">
      <alignment horizontal="center" wrapText="1"/>
    </xf>
    <xf numFmtId="2" fontId="22" fillId="452" borderId="10" xfId="0" applyNumberFormat="1" applyFont="1" applyFill="1" applyBorder="1" applyAlignment="1">
      <alignment horizontal="center" wrapText="1"/>
    </xf>
    <xf numFmtId="2" fontId="22" fillId="262" borderId="12" xfId="0" applyNumberFormat="1" applyFont="1" applyFill="1" applyBorder="1" applyAlignment="1">
      <alignment horizontal="center" wrapText="1"/>
    </xf>
    <xf numFmtId="2" fontId="22" fillId="390" borderId="12" xfId="0" applyNumberFormat="1" applyFont="1" applyFill="1" applyBorder="1" applyAlignment="1">
      <alignment horizontal="center" wrapText="1"/>
    </xf>
    <xf numFmtId="2" fontId="22" fillId="480" borderId="12" xfId="0" applyNumberFormat="1" applyFont="1" applyFill="1" applyBorder="1" applyAlignment="1">
      <alignment horizontal="center" wrapText="1"/>
    </xf>
    <xf numFmtId="2" fontId="22" fillId="430" borderId="12" xfId="0" applyNumberFormat="1" applyFont="1" applyFill="1" applyBorder="1" applyAlignment="1">
      <alignment horizontal="center" wrapText="1"/>
    </xf>
    <xf numFmtId="2" fontId="22" fillId="522" borderId="12" xfId="0" applyNumberFormat="1" applyFont="1" applyFill="1" applyBorder="1" applyAlignment="1">
      <alignment horizontal="center" wrapText="1"/>
    </xf>
    <xf numFmtId="2" fontId="22" fillId="467" borderId="12" xfId="0" applyNumberFormat="1" applyFont="1" applyFill="1" applyBorder="1" applyAlignment="1">
      <alignment horizontal="center" wrapText="1"/>
    </xf>
    <xf numFmtId="2" fontId="22" fillId="456" borderId="10" xfId="0" applyNumberFormat="1" applyFont="1" applyFill="1" applyBorder="1" applyAlignment="1">
      <alignment horizontal="center" wrapText="1"/>
    </xf>
    <xf numFmtId="2" fontId="22" fillId="492" borderId="10" xfId="0" applyNumberFormat="1" applyFont="1" applyFill="1" applyBorder="1" applyAlignment="1">
      <alignment horizontal="center" wrapText="1"/>
    </xf>
    <xf numFmtId="2" fontId="22" fillId="524" borderId="0" xfId="0" applyNumberFormat="1" applyFont="1" applyFill="1" applyBorder="1" applyAlignment="1">
      <alignment horizontal="center" wrapText="1"/>
    </xf>
    <xf numFmtId="2" fontId="22" fillId="342" borderId="12" xfId="0" applyNumberFormat="1" applyFont="1" applyFill="1" applyBorder="1" applyAlignment="1">
      <alignment horizontal="center" wrapText="1"/>
    </xf>
    <xf numFmtId="2" fontId="22" fillId="418" borderId="12" xfId="0" applyNumberFormat="1" applyFont="1" applyFill="1" applyBorder="1" applyAlignment="1">
      <alignment horizontal="center" wrapText="1"/>
    </xf>
    <xf numFmtId="2" fontId="22" fillId="353" borderId="10" xfId="0" applyNumberFormat="1" applyFont="1" applyFill="1" applyBorder="1" applyAlignment="1">
      <alignment horizontal="center" wrapText="1"/>
    </xf>
    <xf numFmtId="2" fontId="22" fillId="350" borderId="12" xfId="0" applyNumberFormat="1" applyFont="1" applyFill="1" applyBorder="1" applyAlignment="1">
      <alignment horizontal="center" wrapText="1"/>
    </xf>
    <xf numFmtId="2" fontId="22" fillId="339" borderId="12" xfId="0" applyNumberFormat="1" applyFont="1" applyFill="1" applyBorder="1" applyAlignment="1">
      <alignment horizontal="center" wrapText="1"/>
    </xf>
    <xf numFmtId="2" fontId="22" fillId="302" borderId="12" xfId="0" applyNumberFormat="1" applyFont="1" applyFill="1" applyBorder="1" applyAlignment="1">
      <alignment horizontal="center" wrapText="1"/>
    </xf>
    <xf numFmtId="2" fontId="22" fillId="268" borderId="10" xfId="0" applyNumberFormat="1" applyFont="1" applyFill="1" applyBorder="1" applyAlignment="1">
      <alignment horizontal="center" wrapText="1"/>
    </xf>
    <xf numFmtId="2" fontId="22" fillId="393" borderId="12" xfId="0" applyNumberFormat="1" applyFont="1" applyFill="1" applyBorder="1" applyAlignment="1">
      <alignment horizontal="center" wrapText="1"/>
    </xf>
    <xf numFmtId="2" fontId="22" fillId="241" borderId="12" xfId="0" applyNumberFormat="1" applyFont="1" applyFill="1" applyBorder="1" applyAlignment="1">
      <alignment horizontal="center" wrapText="1"/>
    </xf>
    <xf numFmtId="2" fontId="22" fillId="444" borderId="12" xfId="0" applyNumberFormat="1" applyFont="1" applyFill="1" applyBorder="1" applyAlignment="1">
      <alignment horizontal="center" wrapText="1"/>
    </xf>
    <xf numFmtId="2" fontId="22" fillId="255" borderId="12" xfId="0" applyNumberFormat="1" applyFont="1" applyFill="1" applyBorder="1" applyAlignment="1">
      <alignment horizontal="center" wrapText="1"/>
    </xf>
    <xf numFmtId="2" fontId="22" fillId="210" borderId="12" xfId="0" applyNumberFormat="1" applyFont="1" applyFill="1" applyBorder="1" applyAlignment="1">
      <alignment horizontal="center" wrapText="1"/>
    </xf>
    <xf numFmtId="2" fontId="22" fillId="158" borderId="12" xfId="0" applyNumberFormat="1" applyFont="1" applyFill="1" applyBorder="1" applyAlignment="1">
      <alignment horizontal="center" wrapText="1"/>
    </xf>
    <xf numFmtId="2" fontId="22" fillId="324" borderId="10" xfId="0" applyNumberFormat="1" applyFont="1" applyFill="1" applyBorder="1" applyAlignment="1">
      <alignment horizontal="center" wrapText="1"/>
    </xf>
    <xf numFmtId="2" fontId="22" fillId="264" borderId="12" xfId="0" applyNumberFormat="1" applyFont="1" applyFill="1" applyBorder="1" applyAlignment="1">
      <alignment horizontal="center" wrapText="1"/>
    </xf>
    <xf numFmtId="2" fontId="22" fillId="87" borderId="10" xfId="0" applyNumberFormat="1" applyFont="1" applyFill="1" applyBorder="1" applyAlignment="1">
      <alignment horizontal="center" wrapText="1"/>
    </xf>
    <xf numFmtId="2" fontId="22" fillId="471" borderId="12" xfId="0" applyNumberFormat="1" applyFont="1" applyFill="1" applyBorder="1" applyAlignment="1">
      <alignment horizontal="center" wrapText="1"/>
    </xf>
    <xf numFmtId="2" fontId="22" fillId="468" borderId="12" xfId="0" applyNumberFormat="1" applyFont="1" applyFill="1" applyBorder="1" applyAlignment="1">
      <alignment horizontal="center" wrapText="1"/>
    </xf>
    <xf numFmtId="2" fontId="22" fillId="248" borderId="12" xfId="0" applyNumberFormat="1" applyFont="1" applyFill="1" applyBorder="1" applyAlignment="1">
      <alignment horizontal="center" wrapText="1"/>
    </xf>
    <xf numFmtId="2" fontId="22" fillId="486" borderId="12" xfId="0" applyNumberFormat="1" applyFont="1" applyFill="1" applyBorder="1" applyAlignment="1">
      <alignment horizontal="center" wrapText="1"/>
    </xf>
    <xf numFmtId="2" fontId="22" fillId="526" borderId="10" xfId="0" applyNumberFormat="1" applyFont="1" applyFill="1" applyBorder="1" applyAlignment="1">
      <alignment horizontal="center" wrapText="1"/>
    </xf>
    <xf numFmtId="2" fontId="22" fillId="278" borderId="12" xfId="0" applyNumberFormat="1" applyFont="1" applyFill="1" applyBorder="1" applyAlignment="1">
      <alignment horizontal="center" wrapText="1"/>
    </xf>
    <xf numFmtId="2" fontId="22" fillId="100" borderId="10" xfId="0" applyNumberFormat="1" applyFont="1" applyFill="1" applyBorder="1" applyAlignment="1">
      <alignment horizontal="center" wrapText="1"/>
    </xf>
    <xf numFmtId="2" fontId="22" fillId="39" borderId="12" xfId="0" applyNumberFormat="1" applyFont="1" applyFill="1" applyBorder="1" applyAlignment="1">
      <alignment horizontal="center" wrapText="1"/>
    </xf>
    <xf numFmtId="2" fontId="22" fillId="401" borderId="10" xfId="0" applyNumberFormat="1" applyFont="1" applyFill="1" applyBorder="1" applyAlignment="1">
      <alignment horizontal="center" wrapText="1"/>
    </xf>
    <xf numFmtId="2" fontId="22" fillId="111" borderId="12" xfId="0" applyNumberFormat="1" applyFont="1" applyFill="1" applyBorder="1" applyAlignment="1">
      <alignment horizontal="center" wrapText="1"/>
    </xf>
    <xf numFmtId="2" fontId="22" fillId="151" borderId="12" xfId="0" applyNumberFormat="1" applyFont="1" applyFill="1" applyBorder="1" applyAlignment="1">
      <alignment horizontal="center" wrapText="1"/>
    </xf>
    <xf numFmtId="2" fontId="22" fillId="487" borderId="12" xfId="0" applyNumberFormat="1" applyFont="1" applyFill="1" applyBorder="1" applyAlignment="1">
      <alignment horizontal="center" wrapText="1"/>
    </xf>
    <xf numFmtId="2" fontId="22" fillId="231" borderId="12" xfId="0" applyNumberFormat="1" applyFont="1" applyFill="1" applyBorder="1" applyAlignment="1">
      <alignment horizontal="center" wrapText="1"/>
    </xf>
    <xf numFmtId="2" fontId="22" fillId="512" borderId="10" xfId="0" applyNumberFormat="1" applyFont="1" applyFill="1" applyBorder="1" applyAlignment="1">
      <alignment horizontal="center" wrapText="1"/>
    </xf>
    <xf numFmtId="2" fontId="22" fillId="413" borderId="0" xfId="0" applyNumberFormat="1" applyFont="1" applyFill="1" applyBorder="1" applyAlignment="1">
      <alignment horizontal="center" wrapText="1"/>
    </xf>
    <xf numFmtId="2" fontId="22" fillId="365" borderId="10" xfId="0" applyNumberFormat="1" applyFont="1" applyFill="1" applyBorder="1" applyAlignment="1">
      <alignment horizontal="center" wrapText="1"/>
    </xf>
    <xf numFmtId="2" fontId="22" fillId="531" borderId="10" xfId="0" applyNumberFormat="1" applyFont="1" applyFill="1" applyBorder="1" applyAlignment="1">
      <alignment horizontal="center" wrapText="1"/>
    </xf>
    <xf numFmtId="2" fontId="22" fillId="463" borderId="12" xfId="0" applyNumberFormat="1" applyFont="1" applyFill="1" applyBorder="1" applyAlignment="1">
      <alignment horizontal="center" wrapText="1"/>
    </xf>
    <xf numFmtId="2" fontId="22" fillId="358" borderId="10" xfId="0" applyNumberFormat="1" applyFont="1" applyFill="1" applyBorder="1" applyAlignment="1">
      <alignment horizontal="center" wrapText="1"/>
    </xf>
    <xf numFmtId="2" fontId="22" fillId="481" borderId="12" xfId="0" applyNumberFormat="1" applyFont="1" applyFill="1" applyBorder="1" applyAlignment="1">
      <alignment horizontal="center" wrapText="1"/>
    </xf>
    <xf numFmtId="2" fontId="22" fillId="400" borderId="10" xfId="0" applyNumberFormat="1" applyFont="1" applyFill="1" applyBorder="1" applyAlignment="1">
      <alignment horizontal="center" wrapText="1"/>
    </xf>
    <xf numFmtId="2" fontId="22" fillId="499" borderId="10" xfId="0" applyNumberFormat="1" applyFont="1" applyFill="1" applyBorder="1" applyAlignment="1">
      <alignment horizontal="center" wrapText="1"/>
    </xf>
    <xf numFmtId="2" fontId="22" fillId="435" borderId="12" xfId="0" applyNumberFormat="1" applyFont="1" applyFill="1" applyBorder="1" applyAlignment="1">
      <alignment horizontal="center" wrapText="1"/>
    </xf>
    <xf numFmtId="2" fontId="22" fillId="432" borderId="10" xfId="0" applyNumberFormat="1" applyFont="1" applyFill="1" applyBorder="1" applyAlignment="1">
      <alignment horizontal="center" wrapText="1"/>
    </xf>
    <xf numFmtId="2" fontId="22" fillId="375" borderId="12" xfId="0" applyNumberFormat="1" applyFont="1" applyFill="1" applyBorder="1" applyAlignment="1">
      <alignment horizontal="center" wrapText="1"/>
    </xf>
    <xf numFmtId="2" fontId="22" fillId="533" borderId="0" xfId="0" applyNumberFormat="1" applyFont="1" applyFill="1" applyBorder="1" applyAlignment="1">
      <alignment horizontal="center" wrapText="1"/>
    </xf>
    <xf numFmtId="2" fontId="22" fillId="515" borderId="12" xfId="0" applyNumberFormat="1" applyFont="1" applyFill="1" applyBorder="1" applyAlignment="1">
      <alignment horizontal="center" wrapText="1"/>
    </xf>
    <xf numFmtId="2" fontId="22" fillId="426" borderId="10" xfId="0" applyNumberFormat="1" applyFont="1" applyFill="1" applyBorder="1" applyAlignment="1">
      <alignment horizontal="center" wrapText="1"/>
    </xf>
    <xf numFmtId="2" fontId="22" fillId="363" borderId="12" xfId="0" applyNumberFormat="1" applyFont="1" applyFill="1" applyBorder="1" applyAlignment="1">
      <alignment horizontal="center" wrapText="1"/>
    </xf>
    <xf numFmtId="2" fontId="22" fillId="498" borderId="12" xfId="0" applyNumberFormat="1" applyFont="1" applyFill="1" applyBorder="1" applyAlignment="1">
      <alignment horizontal="center" wrapText="1"/>
    </xf>
    <xf numFmtId="2" fontId="22" fillId="469" borderId="12" xfId="0" applyNumberFormat="1" applyFont="1" applyFill="1" applyBorder="1" applyAlignment="1">
      <alignment horizontal="center" wrapText="1"/>
    </xf>
    <xf numFmtId="2" fontId="22" fillId="460" borderId="10" xfId="0" applyNumberFormat="1" applyFont="1" applyFill="1" applyBorder="1" applyAlignment="1">
      <alignment horizontal="center" wrapText="1"/>
    </xf>
    <xf numFmtId="2" fontId="22" fillId="458" borderId="10" xfId="0" applyNumberFormat="1" applyFont="1" applyFill="1" applyBorder="1" applyAlignment="1">
      <alignment horizontal="center" wrapText="1"/>
    </xf>
    <xf numFmtId="2" fontId="22" fillId="442" borderId="12" xfId="0" applyNumberFormat="1" applyFont="1" applyFill="1" applyBorder="1" applyAlignment="1">
      <alignment horizontal="center" wrapText="1"/>
    </xf>
    <xf numFmtId="2" fontId="22" fillId="507" borderId="10" xfId="0" applyNumberFormat="1" applyFont="1" applyFill="1" applyBorder="1" applyAlignment="1">
      <alignment horizontal="center" wrapText="1"/>
    </xf>
    <xf numFmtId="2" fontId="22" fillId="462" borderId="10" xfId="0" applyNumberFormat="1" applyFont="1" applyFill="1" applyBorder="1" applyAlignment="1">
      <alignment horizontal="center" wrapText="1"/>
    </xf>
    <xf numFmtId="2" fontId="22" fillId="359" borderId="10" xfId="0" applyNumberFormat="1" applyFont="1" applyFill="1" applyBorder="1" applyAlignment="1">
      <alignment horizontal="center" wrapText="1"/>
    </xf>
    <xf numFmtId="2" fontId="22" fillId="244" borderId="10" xfId="0" applyNumberFormat="1" applyFont="1" applyFill="1" applyBorder="1" applyAlignment="1">
      <alignment horizontal="center" wrapText="1"/>
    </xf>
    <xf numFmtId="2" fontId="22" fillId="536" borderId="10" xfId="0" applyNumberFormat="1" applyFont="1" applyFill="1" applyBorder="1" applyAlignment="1">
      <alignment horizontal="center" wrapText="1"/>
    </xf>
    <xf numFmtId="2" fontId="22" fillId="465" borderId="10" xfId="0" applyNumberFormat="1" applyFont="1" applyFill="1" applyBorder="1" applyAlignment="1">
      <alignment horizontal="center" wrapText="1"/>
    </xf>
    <xf numFmtId="2" fontId="22" fillId="423" borderId="10" xfId="0" applyNumberFormat="1" applyFont="1" applyFill="1" applyBorder="1" applyAlignment="1">
      <alignment horizontal="center" wrapText="1"/>
    </xf>
    <xf numFmtId="2" fontId="22" fillId="324" borderId="12" xfId="0" applyNumberFormat="1" applyFont="1" applyFill="1" applyBorder="1" applyAlignment="1">
      <alignment horizontal="center" wrapText="1"/>
    </xf>
    <xf numFmtId="2" fontId="22" fillId="329" borderId="12" xfId="0" applyNumberFormat="1" applyFont="1" applyFill="1" applyBorder="1" applyAlignment="1">
      <alignment horizontal="center" wrapText="1"/>
    </xf>
    <xf numFmtId="2" fontId="22" fillId="402" borderId="10" xfId="0" applyNumberFormat="1" applyFont="1" applyFill="1" applyBorder="1" applyAlignment="1">
      <alignment horizontal="center" wrapText="1"/>
    </xf>
    <xf numFmtId="2" fontId="22" fillId="379" borderId="12" xfId="0" applyNumberFormat="1" applyFont="1" applyFill="1" applyBorder="1" applyAlignment="1">
      <alignment horizontal="center" wrapText="1"/>
    </xf>
    <xf numFmtId="2" fontId="22" fillId="464" borderId="12" xfId="0" applyNumberFormat="1" applyFont="1" applyFill="1" applyBorder="1" applyAlignment="1">
      <alignment horizontal="center" wrapText="1"/>
    </xf>
    <xf numFmtId="2" fontId="22" fillId="395" borderId="12" xfId="0" applyNumberFormat="1" applyFont="1" applyFill="1" applyBorder="1" applyAlignment="1">
      <alignment horizontal="center" wrapText="1"/>
    </xf>
    <xf numFmtId="2" fontId="22" fillId="290" borderId="12" xfId="0" applyNumberFormat="1" applyFont="1" applyFill="1" applyBorder="1" applyAlignment="1">
      <alignment horizontal="center" wrapText="1"/>
    </xf>
    <xf numFmtId="2" fontId="22" fillId="446" borderId="10" xfId="0" applyNumberFormat="1" applyFont="1" applyFill="1" applyBorder="1" applyAlignment="1">
      <alignment horizontal="center" wrapText="1"/>
    </xf>
    <xf numFmtId="2" fontId="22" fillId="519" borderId="12" xfId="0" applyNumberFormat="1" applyFont="1" applyFill="1" applyBorder="1" applyAlignment="1">
      <alignment horizontal="center" wrapText="1"/>
    </xf>
    <xf numFmtId="2" fontId="22" fillId="362" borderId="12" xfId="0" applyNumberFormat="1" applyFont="1" applyFill="1" applyBorder="1" applyAlignment="1">
      <alignment horizontal="center" wrapText="1"/>
    </xf>
    <xf numFmtId="2" fontId="22" fillId="403" borderId="12" xfId="0" applyNumberFormat="1" applyFont="1" applyFill="1" applyBorder="1" applyAlignment="1">
      <alignment horizontal="center" wrapText="1"/>
    </xf>
    <xf numFmtId="2" fontId="22" fillId="439" borderId="10" xfId="0" applyNumberFormat="1" applyFont="1" applyFill="1" applyBorder="1" applyAlignment="1">
      <alignment horizontal="center" wrapText="1"/>
    </xf>
    <xf numFmtId="2" fontId="22" fillId="410" borderId="12" xfId="0" applyNumberFormat="1" applyFont="1" applyFill="1" applyBorder="1" applyAlignment="1">
      <alignment horizontal="center" wrapText="1"/>
    </xf>
    <xf numFmtId="2" fontId="22" fillId="449" borderId="10" xfId="0" applyNumberFormat="1" applyFont="1" applyFill="1" applyBorder="1" applyAlignment="1">
      <alignment horizontal="center" wrapText="1"/>
    </xf>
    <xf numFmtId="2" fontId="22" fillId="530" borderId="10" xfId="0" applyNumberFormat="1" applyFont="1" applyFill="1" applyBorder="1" applyAlignment="1">
      <alignment horizontal="center" wrapText="1"/>
    </xf>
    <xf numFmtId="2" fontId="22" fillId="135" borderId="12" xfId="0" applyNumberFormat="1" applyFont="1" applyFill="1" applyBorder="1" applyAlignment="1">
      <alignment horizontal="center" wrapText="1"/>
    </xf>
    <xf numFmtId="2" fontId="22" fillId="190" borderId="12" xfId="0" applyNumberFormat="1" applyFont="1" applyFill="1" applyBorder="1" applyAlignment="1">
      <alignment horizontal="center" wrapText="1"/>
    </xf>
    <xf numFmtId="2" fontId="22" fillId="497" borderId="12" xfId="0" applyNumberFormat="1" applyFont="1" applyFill="1" applyBorder="1" applyAlignment="1">
      <alignment horizontal="center" wrapText="1"/>
    </xf>
    <xf numFmtId="2" fontId="22" fillId="537" borderId="10" xfId="0" applyNumberFormat="1" applyFont="1" applyFill="1" applyBorder="1" applyAlignment="1">
      <alignment horizontal="center" wrapText="1"/>
    </xf>
    <xf numFmtId="2" fontId="22" fillId="441" borderId="12" xfId="0" applyNumberFormat="1" applyFont="1" applyFill="1" applyBorder="1" applyAlignment="1">
      <alignment horizontal="center" wrapText="1"/>
    </xf>
    <xf numFmtId="2" fontId="22" fillId="538" borderId="10" xfId="0" applyNumberFormat="1" applyFont="1" applyFill="1" applyBorder="1" applyAlignment="1">
      <alignment horizontal="center" wrapText="1"/>
    </xf>
    <xf numFmtId="2" fontId="22" fillId="508" borderId="0" xfId="0" applyNumberFormat="1" applyFont="1" applyFill="1" applyBorder="1" applyAlignment="1">
      <alignment horizontal="center" wrapText="1"/>
    </xf>
    <xf numFmtId="2" fontId="22" fillId="539" borderId="10" xfId="0" applyNumberFormat="1" applyFont="1" applyFill="1" applyBorder="1" applyAlignment="1">
      <alignment horizontal="center" wrapText="1"/>
    </xf>
    <xf numFmtId="2" fontId="22" fillId="540" borderId="0" xfId="0" applyNumberFormat="1" applyFont="1" applyFill="1" applyBorder="1" applyAlignment="1">
      <alignment horizontal="center" wrapText="1"/>
    </xf>
    <xf numFmtId="2" fontId="22" fillId="391" borderId="12" xfId="0" applyNumberFormat="1" applyFont="1" applyFill="1" applyBorder="1" applyAlignment="1">
      <alignment horizontal="center" wrapText="1"/>
    </xf>
    <xf numFmtId="2" fontId="22" fillId="325" borderId="10" xfId="0" applyNumberFormat="1" applyFont="1" applyFill="1" applyBorder="1" applyAlignment="1">
      <alignment horizontal="center" wrapText="1"/>
    </xf>
    <xf numFmtId="2" fontId="22" fillId="343" borderId="10" xfId="0" applyNumberFormat="1" applyFont="1" applyFill="1" applyBorder="1" applyAlignment="1">
      <alignment horizontal="center" wrapText="1"/>
    </xf>
    <xf numFmtId="2" fontId="22" fillId="93" borderId="12" xfId="0" applyNumberFormat="1" applyFont="1" applyFill="1" applyBorder="1" applyAlignment="1">
      <alignment horizontal="center" wrapText="1"/>
    </xf>
    <xf numFmtId="2" fontId="22" fillId="523" borderId="10" xfId="0" applyNumberFormat="1" applyFont="1" applyFill="1" applyBorder="1" applyAlignment="1">
      <alignment horizontal="center" wrapText="1"/>
    </xf>
    <xf numFmtId="2" fontId="22" fillId="450" borderId="12" xfId="0" applyNumberFormat="1" applyFont="1" applyFill="1" applyBorder="1" applyAlignment="1">
      <alignment horizontal="center" wrapText="1"/>
    </xf>
    <xf numFmtId="2" fontId="22" fillId="267" borderId="12" xfId="0" applyNumberFormat="1" applyFont="1" applyFill="1" applyBorder="1" applyAlignment="1">
      <alignment horizontal="center" wrapText="1"/>
    </xf>
    <xf numFmtId="2" fontId="22" fillId="398" borderId="10" xfId="0" applyNumberFormat="1" applyFont="1" applyFill="1" applyBorder="1" applyAlignment="1">
      <alignment horizontal="center" wrapText="1"/>
    </xf>
    <xf numFmtId="2" fontId="22" fillId="271" borderId="12" xfId="0" applyNumberFormat="1" applyFont="1" applyFill="1" applyBorder="1" applyAlignment="1">
      <alignment horizontal="center" wrapText="1"/>
    </xf>
    <xf numFmtId="2" fontId="22" fillId="524" borderId="10" xfId="0" applyNumberFormat="1" applyFont="1" applyFill="1" applyBorder="1" applyAlignment="1">
      <alignment horizontal="center" wrapText="1"/>
    </xf>
    <xf numFmtId="2" fontId="22" fillId="510" borderId="10" xfId="0" applyNumberFormat="1" applyFont="1" applyFill="1" applyBorder="1" applyAlignment="1">
      <alignment horizontal="center" wrapText="1"/>
    </xf>
    <xf numFmtId="2" fontId="22" fillId="510" borderId="0" xfId="0" applyNumberFormat="1" applyFont="1" applyFill="1" applyBorder="1" applyAlignment="1">
      <alignment horizontal="center" wrapText="1"/>
    </xf>
    <xf numFmtId="2" fontId="22" fillId="527" borderId="10" xfId="0" applyNumberFormat="1" applyFont="1" applyFill="1" applyBorder="1" applyAlignment="1">
      <alignment horizontal="center" wrapText="1"/>
    </xf>
    <xf numFmtId="2" fontId="22" fillId="433" borderId="12" xfId="0" applyNumberFormat="1" applyFont="1" applyFill="1" applyBorder="1" applyAlignment="1">
      <alignment horizontal="center" wrapText="1"/>
    </xf>
    <xf numFmtId="2" fontId="22" fillId="183" borderId="10" xfId="0" applyNumberFormat="1" applyFont="1" applyFill="1" applyBorder="1" applyAlignment="1">
      <alignment horizontal="center" wrapText="1"/>
    </xf>
    <xf numFmtId="2" fontId="22" fillId="353" borderId="12" xfId="0" applyNumberFormat="1" applyFont="1" applyFill="1" applyBorder="1" applyAlignment="1">
      <alignment horizontal="center" wrapText="1"/>
    </xf>
    <xf numFmtId="2" fontId="22" fillId="194" borderId="10" xfId="0" applyNumberFormat="1" applyFont="1" applyFill="1" applyBorder="1" applyAlignment="1">
      <alignment horizontal="center" wrapText="1"/>
    </xf>
    <xf numFmtId="2" fontId="22" fillId="122" borderId="12" xfId="0" applyNumberFormat="1" applyFont="1" applyFill="1" applyBorder="1" applyAlignment="1">
      <alignment horizontal="center" wrapText="1"/>
    </xf>
    <xf numFmtId="2" fontId="22" fillId="212" borderId="10" xfId="0" applyNumberFormat="1" applyFont="1" applyFill="1" applyBorder="1" applyAlignment="1">
      <alignment horizontal="center" wrapText="1"/>
    </xf>
    <xf numFmtId="2" fontId="22" fillId="51" borderId="12" xfId="0" applyNumberFormat="1" applyFont="1" applyFill="1" applyBorder="1" applyAlignment="1">
      <alignment horizontal="center" wrapText="1"/>
    </xf>
    <xf numFmtId="2" fontId="22" fillId="177" borderId="10" xfId="0" applyNumberFormat="1" applyFont="1" applyFill="1" applyBorder="1" applyAlignment="1">
      <alignment horizontal="center" wrapText="1"/>
    </xf>
    <xf numFmtId="2" fontId="22" fillId="252" borderId="12" xfId="0" applyNumberFormat="1" applyFont="1" applyFill="1" applyBorder="1" applyAlignment="1">
      <alignment horizontal="center" wrapText="1"/>
    </xf>
    <xf numFmtId="2" fontId="22" fillId="119" borderId="10" xfId="0" applyNumberFormat="1" applyFont="1" applyFill="1" applyBorder="1" applyAlignment="1">
      <alignment horizontal="center" wrapText="1"/>
    </xf>
    <xf numFmtId="2" fontId="22" fillId="250" borderId="10" xfId="0" applyNumberFormat="1" applyFont="1" applyFill="1" applyBorder="1" applyAlignment="1">
      <alignment horizontal="center" wrapText="1"/>
    </xf>
    <xf numFmtId="2" fontId="22" fillId="295" borderId="10" xfId="0" applyNumberFormat="1" applyFont="1" applyFill="1" applyBorder="1" applyAlignment="1">
      <alignment horizontal="center" wrapText="1"/>
    </xf>
    <xf numFmtId="2" fontId="22" fillId="101" borderId="10" xfId="0" applyNumberFormat="1" applyFont="1" applyFill="1" applyBorder="1" applyAlignment="1">
      <alignment horizontal="center" wrapText="1"/>
    </xf>
    <xf numFmtId="2" fontId="22" fillId="134" borderId="10" xfId="0" applyNumberFormat="1" applyFont="1" applyFill="1" applyBorder="1" applyAlignment="1">
      <alignment horizontal="center" wrapText="1"/>
    </xf>
    <xf numFmtId="2" fontId="22" fillId="202" borderId="10" xfId="0" applyNumberFormat="1" applyFont="1" applyFill="1" applyBorder="1" applyAlignment="1">
      <alignment horizontal="center" wrapText="1"/>
    </xf>
    <xf numFmtId="2" fontId="22" fillId="290" borderId="10" xfId="0" applyNumberFormat="1" applyFont="1" applyFill="1" applyBorder="1" applyAlignment="1">
      <alignment horizontal="center" wrapText="1"/>
    </xf>
    <xf numFmtId="2" fontId="22" fillId="266" borderId="12" xfId="0" applyNumberFormat="1" applyFont="1" applyFill="1" applyBorder="1" applyAlignment="1">
      <alignment horizontal="center" wrapText="1"/>
    </xf>
    <xf numFmtId="2" fontId="22" fillId="387" borderId="10" xfId="0" applyNumberFormat="1" applyFont="1" applyFill="1" applyBorder="1" applyAlignment="1">
      <alignment horizontal="center" wrapText="1"/>
    </xf>
    <xf numFmtId="2" fontId="22" fillId="436" borderId="10" xfId="0" applyNumberFormat="1" applyFont="1" applyFill="1" applyBorder="1" applyAlignment="1">
      <alignment horizontal="center" wrapText="1"/>
    </xf>
    <xf numFmtId="2" fontId="22" fillId="229" borderId="10" xfId="0" applyNumberFormat="1" applyFont="1" applyFill="1" applyBorder="1" applyAlignment="1">
      <alignment horizontal="center" wrapText="1"/>
    </xf>
    <xf numFmtId="2" fontId="22" fillId="329" borderId="10" xfId="0" applyNumberFormat="1" applyFont="1" applyFill="1" applyBorder="1" applyAlignment="1">
      <alignment horizontal="center" wrapText="1"/>
    </xf>
    <xf numFmtId="2" fontId="22" fillId="301" borderId="12" xfId="0" applyNumberFormat="1" applyFont="1" applyFill="1" applyBorder="1" applyAlignment="1">
      <alignment horizontal="center" wrapText="1"/>
    </xf>
    <xf numFmtId="2" fontId="22" fillId="311" borderId="12" xfId="0" applyNumberFormat="1" applyFont="1" applyFill="1" applyBorder="1" applyAlignment="1">
      <alignment horizontal="center" wrapText="1"/>
    </xf>
    <xf numFmtId="2" fontId="22" fillId="200" borderId="10" xfId="0" applyNumberFormat="1" applyFont="1" applyFill="1" applyBorder="1" applyAlignment="1">
      <alignment horizontal="center" wrapText="1"/>
    </xf>
    <xf numFmtId="2" fontId="22" fillId="197" borderId="12" xfId="0" applyNumberFormat="1" applyFont="1" applyFill="1" applyBorder="1" applyAlignment="1">
      <alignment horizontal="center" wrapText="1"/>
    </xf>
    <xf numFmtId="2" fontId="22" fillId="108" borderId="10" xfId="0" applyNumberFormat="1" applyFont="1" applyFill="1" applyBorder="1" applyAlignment="1">
      <alignment horizontal="center" wrapText="1"/>
    </xf>
    <xf numFmtId="2" fontId="22" fillId="345" borderId="10" xfId="0" applyNumberFormat="1" applyFont="1" applyFill="1" applyBorder="1" applyAlignment="1">
      <alignment horizontal="center" wrapText="1"/>
    </xf>
    <xf numFmtId="2" fontId="22" fillId="405" borderId="12" xfId="0" applyNumberFormat="1" applyFont="1" applyFill="1" applyBorder="1" applyAlignment="1">
      <alignment horizontal="center" wrapText="1"/>
    </xf>
    <xf numFmtId="2" fontId="22" fillId="55" borderId="10" xfId="0" applyNumberFormat="1" applyFont="1" applyFill="1" applyBorder="1" applyAlignment="1">
      <alignment horizontal="center" wrapText="1"/>
    </xf>
    <xf numFmtId="2" fontId="22" fillId="80" borderId="12" xfId="0" applyNumberFormat="1" applyFont="1" applyFill="1" applyBorder="1" applyAlignment="1">
      <alignment horizontal="center" wrapText="1"/>
    </xf>
    <xf numFmtId="2" fontId="22" fillId="217" borderId="10" xfId="0" applyNumberFormat="1" applyFont="1" applyFill="1" applyBorder="1" applyAlignment="1">
      <alignment horizontal="center" wrapText="1"/>
    </xf>
    <xf numFmtId="2" fontId="22" fillId="239" borderId="10" xfId="0" applyNumberFormat="1" applyFont="1" applyFill="1" applyBorder="1" applyAlignment="1">
      <alignment horizontal="center" wrapText="1"/>
    </xf>
    <xf numFmtId="2" fontId="22" fillId="118" borderId="10" xfId="0" applyNumberFormat="1" applyFont="1" applyFill="1" applyBorder="1" applyAlignment="1">
      <alignment horizontal="center" wrapText="1"/>
    </xf>
    <xf numFmtId="2" fontId="22" fillId="224" borderId="10" xfId="0" applyNumberFormat="1" applyFont="1" applyFill="1" applyBorder="1" applyAlignment="1">
      <alignment horizontal="center" wrapText="1"/>
    </xf>
    <xf numFmtId="2" fontId="22" fillId="138" borderId="12" xfId="0" applyNumberFormat="1" applyFont="1" applyFill="1" applyBorder="1" applyAlignment="1">
      <alignment horizontal="center" wrapText="1"/>
    </xf>
    <xf numFmtId="2" fontId="22" fillId="100" borderId="12" xfId="0" applyNumberFormat="1" applyFont="1" applyFill="1" applyBorder="1" applyAlignment="1">
      <alignment horizontal="center" wrapText="1"/>
    </xf>
    <xf numFmtId="2" fontId="22" fillId="233" borderId="10" xfId="0" applyNumberFormat="1" applyFont="1" applyFill="1" applyBorder="1" applyAlignment="1">
      <alignment horizontal="center" wrapText="1"/>
    </xf>
    <xf numFmtId="2" fontId="22" fillId="196" borderId="12" xfId="0" applyNumberFormat="1" applyFont="1" applyFill="1" applyBorder="1" applyAlignment="1">
      <alignment horizontal="center" wrapText="1"/>
    </xf>
    <xf numFmtId="2" fontId="22" fillId="249" borderId="12" xfId="0" applyNumberFormat="1" applyFont="1" applyFill="1" applyBorder="1" applyAlignment="1">
      <alignment horizontal="center" wrapText="1"/>
    </xf>
    <xf numFmtId="2" fontId="22" fillId="497" borderId="10" xfId="0" applyNumberFormat="1" applyFont="1" applyFill="1" applyBorder="1" applyAlignment="1">
      <alignment horizontal="center" wrapText="1"/>
    </xf>
    <xf numFmtId="2" fontId="22" fillId="83" borderId="10" xfId="0" applyNumberFormat="1" applyFont="1" applyFill="1" applyBorder="1" applyAlignment="1">
      <alignment horizontal="center" wrapText="1"/>
    </xf>
    <xf numFmtId="2" fontId="22" fillId="305" borderId="12" xfId="0" applyNumberFormat="1" applyFont="1" applyFill="1" applyBorder="1" applyAlignment="1">
      <alignment horizontal="center" wrapText="1"/>
    </xf>
    <xf numFmtId="2" fontId="22" fillId="495" borderId="10" xfId="0" applyNumberFormat="1" applyFont="1" applyFill="1" applyBorder="1" applyAlignment="1">
      <alignment horizontal="center" wrapText="1"/>
    </xf>
    <xf numFmtId="2" fontId="22" fillId="270" borderId="10" xfId="0" applyNumberFormat="1" applyFont="1" applyFill="1" applyBorder="1" applyAlignment="1">
      <alignment horizontal="center" wrapText="1"/>
    </xf>
    <xf numFmtId="2" fontId="22" fillId="377" borderId="12" xfId="0" applyNumberFormat="1" applyFont="1" applyFill="1" applyBorder="1" applyAlignment="1">
      <alignment horizontal="center" wrapText="1"/>
    </xf>
    <xf numFmtId="2" fontId="22" fillId="256" borderId="10" xfId="0" applyNumberFormat="1" applyFont="1" applyFill="1" applyBorder="1" applyAlignment="1">
      <alignment horizontal="center" wrapText="1"/>
    </xf>
    <xf numFmtId="2" fontId="22" fillId="128" borderId="10" xfId="0" applyNumberFormat="1" applyFont="1" applyFill="1" applyBorder="1" applyAlignment="1">
      <alignment horizontal="center" wrapText="1"/>
    </xf>
    <xf numFmtId="2" fontId="22" fillId="153" borderId="10" xfId="0" applyNumberFormat="1" applyFont="1" applyFill="1" applyBorder="1" applyAlignment="1">
      <alignment horizontal="center" wrapText="1"/>
    </xf>
    <xf numFmtId="2" fontId="22" fillId="317" borderId="10" xfId="0" applyNumberFormat="1" applyFont="1" applyFill="1" applyBorder="1" applyAlignment="1">
      <alignment horizontal="center" wrapText="1"/>
    </xf>
    <xf numFmtId="2" fontId="22" fillId="132" borderId="10" xfId="0" applyNumberFormat="1" applyFont="1" applyFill="1" applyBorder="1" applyAlignment="1">
      <alignment horizontal="center" wrapText="1"/>
    </xf>
    <xf numFmtId="2" fontId="22" fillId="76" borderId="12" xfId="0" applyNumberFormat="1" applyFont="1" applyFill="1" applyBorder="1" applyAlignment="1">
      <alignment horizontal="center" wrapText="1"/>
    </xf>
    <xf numFmtId="2" fontId="22" fillId="307" borderId="10" xfId="0" applyNumberFormat="1" applyFont="1" applyFill="1" applyBorder="1" applyAlignment="1">
      <alignment horizontal="center" wrapText="1"/>
    </xf>
    <xf numFmtId="2" fontId="22" fillId="371" borderId="10" xfId="0" applyNumberFormat="1" applyFont="1" applyFill="1" applyBorder="1" applyAlignment="1">
      <alignment horizontal="center" wrapText="1"/>
    </xf>
    <xf numFmtId="2" fontId="22" fillId="37" borderId="10" xfId="0" applyNumberFormat="1" applyFont="1" applyFill="1" applyBorder="1" applyAlignment="1">
      <alignment horizontal="center" wrapText="1"/>
    </xf>
    <xf numFmtId="2" fontId="22" fillId="476" borderId="10" xfId="0" applyNumberFormat="1" applyFont="1" applyFill="1" applyBorder="1" applyAlignment="1">
      <alignment horizontal="center" wrapText="1"/>
    </xf>
    <xf numFmtId="2" fontId="22" fillId="204" borderId="10" xfId="0" applyNumberFormat="1" applyFont="1" applyFill="1" applyBorder="1" applyAlignment="1">
      <alignment horizontal="center" wrapText="1"/>
    </xf>
    <xf numFmtId="2" fontId="22" fillId="228" borderId="12" xfId="0" applyNumberFormat="1" applyFont="1" applyFill="1" applyBorder="1" applyAlignment="1">
      <alignment horizontal="center" wrapText="1"/>
    </xf>
    <xf numFmtId="2" fontId="22" fillId="182" borderId="10" xfId="0" applyNumberFormat="1" applyFont="1" applyFill="1" applyBorder="1" applyAlignment="1">
      <alignment horizontal="center" wrapText="1"/>
    </xf>
    <xf numFmtId="2" fontId="22" fillId="232" borderId="10" xfId="0" applyNumberFormat="1" applyFont="1" applyFill="1" applyBorder="1" applyAlignment="1">
      <alignment horizontal="center" wrapText="1"/>
    </xf>
    <xf numFmtId="2" fontId="22" fillId="65" borderId="12" xfId="0" applyNumberFormat="1" applyFont="1" applyFill="1" applyBorder="1" applyAlignment="1">
      <alignment horizontal="center" wrapText="1"/>
    </xf>
    <xf numFmtId="2" fontId="22" fillId="140" borderId="10" xfId="0" applyNumberFormat="1" applyFont="1" applyFill="1" applyBorder="1" applyAlignment="1">
      <alignment horizontal="center" wrapText="1"/>
    </xf>
    <xf numFmtId="2" fontId="22" fillId="110" borderId="10" xfId="0" applyNumberFormat="1" applyFont="1" applyFill="1" applyBorder="1" applyAlignment="1">
      <alignment horizontal="center" wrapText="1"/>
    </xf>
    <xf numFmtId="2" fontId="22" fillId="93" borderId="10" xfId="0" applyNumberFormat="1" applyFont="1" applyFill="1" applyBorder="1" applyAlignment="1">
      <alignment horizontal="center" wrapText="1"/>
    </xf>
    <xf numFmtId="2" fontId="22" fillId="382" borderId="10" xfId="0" applyNumberFormat="1" applyFont="1" applyFill="1" applyBorder="1" applyAlignment="1">
      <alignment horizontal="center" wrapText="1"/>
    </xf>
    <xf numFmtId="2" fontId="22" fillId="181" borderId="12" xfId="0" applyNumberFormat="1" applyFont="1" applyFill="1" applyBorder="1" applyAlignment="1">
      <alignment horizontal="center" wrapText="1"/>
    </xf>
    <xf numFmtId="2" fontId="22" fillId="283" borderId="10" xfId="0" applyNumberFormat="1" applyFont="1" applyFill="1" applyBorder="1" applyAlignment="1">
      <alignment horizontal="center" wrapText="1"/>
    </xf>
    <xf numFmtId="2" fontId="22" fillId="135" borderId="10" xfId="0" applyNumberFormat="1" applyFont="1" applyFill="1" applyBorder="1" applyAlignment="1">
      <alignment horizontal="center" wrapText="1"/>
    </xf>
    <xf numFmtId="2" fontId="22" fillId="109" borderId="10" xfId="0" applyNumberFormat="1" applyFont="1" applyFill="1" applyBorder="1" applyAlignment="1">
      <alignment horizontal="center" wrapText="1"/>
    </xf>
    <xf numFmtId="2" fontId="22" fillId="223" borderId="10" xfId="0" applyNumberFormat="1" applyFont="1" applyFill="1" applyBorder="1" applyAlignment="1">
      <alignment horizontal="center" wrapText="1"/>
    </xf>
    <xf numFmtId="2" fontId="22" fillId="154" borderId="10" xfId="0" applyNumberFormat="1" applyFont="1" applyFill="1" applyBorder="1" applyAlignment="1">
      <alignment horizontal="center" wrapText="1"/>
    </xf>
    <xf numFmtId="2" fontId="22" fillId="129" borderId="10" xfId="0" applyNumberFormat="1" applyFont="1" applyFill="1" applyBorder="1" applyAlignment="1">
      <alignment horizontal="center" wrapText="1"/>
    </xf>
    <xf numFmtId="2" fontId="22" fillId="205" borderId="10" xfId="0" applyNumberFormat="1" applyFont="1" applyFill="1" applyBorder="1" applyAlignment="1">
      <alignment horizontal="center" wrapText="1"/>
    </xf>
    <xf numFmtId="2" fontId="22" fillId="96" borderId="12" xfId="0" applyNumberFormat="1" applyFont="1" applyFill="1" applyBorder="1" applyAlignment="1">
      <alignment horizontal="center" wrapText="1"/>
    </xf>
    <xf numFmtId="2" fontId="22" fillId="347" borderId="10" xfId="0" applyNumberFormat="1" applyFont="1" applyFill="1" applyBorder="1" applyAlignment="1">
      <alignment horizontal="center" wrapText="1"/>
    </xf>
    <xf numFmtId="2" fontId="22" fillId="280" borderId="10" xfId="0" applyNumberFormat="1" applyFont="1" applyFill="1" applyBorder="1" applyAlignment="1">
      <alignment horizontal="center" wrapText="1"/>
    </xf>
    <xf numFmtId="2" fontId="22" fillId="528" borderId="0" xfId="0" applyNumberFormat="1" applyFont="1" applyFill="1" applyBorder="1" applyAlignment="1">
      <alignment horizontal="center" wrapText="1"/>
    </xf>
    <xf numFmtId="2" fontId="22" fillId="489" borderId="10" xfId="0" applyNumberFormat="1" applyFont="1" applyFill="1" applyBorder="1" applyAlignment="1">
      <alignment horizontal="center" wrapText="1"/>
    </xf>
    <xf numFmtId="2" fontId="22" fillId="482" borderId="10" xfId="0" applyNumberFormat="1" applyFont="1" applyFill="1" applyBorder="1" applyAlignment="1">
      <alignment horizontal="center" wrapText="1"/>
    </xf>
    <xf numFmtId="2" fontId="22" fillId="289" borderId="12" xfId="0" applyNumberFormat="1" applyFont="1" applyFill="1" applyBorder="1" applyAlignment="1">
      <alignment horizontal="center" wrapText="1"/>
    </xf>
    <xf numFmtId="2" fontId="22" fillId="211" borderId="12" xfId="0" applyNumberFormat="1" applyFont="1" applyFill="1" applyBorder="1" applyAlignment="1">
      <alignment horizontal="center" wrapText="1"/>
    </xf>
    <xf numFmtId="2" fontId="22" fillId="209" borderId="10" xfId="0" applyNumberFormat="1" applyFont="1" applyFill="1" applyBorder="1" applyAlignment="1">
      <alignment horizontal="center" wrapText="1"/>
    </xf>
    <xf numFmtId="2" fontId="22" fillId="219" borderId="10" xfId="0" applyNumberFormat="1" applyFont="1" applyFill="1" applyBorder="1" applyAlignment="1">
      <alignment horizontal="center" wrapText="1"/>
    </xf>
    <xf numFmtId="2" fontId="22" fillId="123" borderId="10" xfId="0" applyNumberFormat="1" applyFont="1" applyFill="1" applyBorder="1" applyAlignment="1">
      <alignment horizontal="center" wrapText="1"/>
    </xf>
    <xf numFmtId="2" fontId="22" fillId="543" borderId="0" xfId="0" applyNumberFormat="1" applyFont="1" applyFill="1" applyBorder="1" applyAlignment="1">
      <alignment horizontal="center" wrapText="1"/>
    </xf>
    <xf numFmtId="2" fontId="22" fillId="543" borderId="10" xfId="0" applyNumberFormat="1" applyFont="1" applyFill="1" applyBorder="1" applyAlignment="1">
      <alignment horizontal="center" wrapText="1"/>
    </xf>
    <xf numFmtId="2" fontId="22" fillId="334" borderId="10" xfId="0" applyNumberFormat="1" applyFont="1" applyFill="1" applyBorder="1" applyAlignment="1">
      <alignment horizontal="center" wrapText="1"/>
    </xf>
    <xf numFmtId="2" fontId="22" fillId="170" borderId="12" xfId="0" applyNumberFormat="1" applyFont="1" applyFill="1" applyBorder="1" applyAlignment="1">
      <alignment horizontal="center" wrapText="1"/>
    </xf>
    <xf numFmtId="2" fontId="22" fillId="296" borderId="10" xfId="0" applyNumberFormat="1" applyFont="1" applyFill="1" applyBorder="1" applyAlignment="1">
      <alignment horizontal="center" wrapText="1"/>
    </xf>
    <xf numFmtId="2" fontId="22" fillId="160" borderId="10" xfId="0" applyNumberFormat="1" applyFont="1" applyFill="1" applyBorder="1" applyAlignment="1">
      <alignment horizontal="center" wrapText="1"/>
    </xf>
    <xf numFmtId="2" fontId="22" fillId="131" borderId="10" xfId="0" applyNumberFormat="1" applyFont="1" applyFill="1" applyBorder="1" applyAlignment="1">
      <alignment horizontal="center" wrapText="1"/>
    </xf>
    <xf numFmtId="2" fontId="22" fillId="227" borderId="12" xfId="0" applyNumberFormat="1" applyFont="1" applyFill="1" applyBorder="1" applyAlignment="1">
      <alignment horizontal="center" wrapText="1"/>
    </xf>
    <xf numFmtId="2" fontId="22" fillId="304" borderId="12" xfId="0" applyNumberFormat="1" applyFont="1" applyFill="1" applyBorder="1" applyAlignment="1">
      <alignment horizontal="center" wrapText="1"/>
    </xf>
    <xf numFmtId="2" fontId="22" fillId="269" borderId="12" xfId="0" applyNumberFormat="1" applyFont="1" applyFill="1" applyBorder="1" applyAlignment="1">
      <alignment horizontal="center" wrapText="1"/>
    </xf>
    <xf numFmtId="2" fontId="22" fillId="332" borderId="10" xfId="0" applyNumberFormat="1" applyFont="1" applyFill="1" applyBorder="1" applyAlignment="1">
      <alignment horizontal="center" wrapText="1"/>
    </xf>
    <xf numFmtId="2" fontId="22" fillId="102" borderId="10" xfId="0" applyNumberFormat="1" applyFont="1" applyFill="1" applyBorder="1" applyAlignment="1">
      <alignment horizontal="center" wrapText="1"/>
    </xf>
    <xf numFmtId="2" fontId="22" fillId="116" borderId="12" xfId="0" applyNumberFormat="1" applyFont="1" applyFill="1" applyBorder="1" applyAlignment="1">
      <alignment horizontal="center" wrapText="1"/>
    </xf>
    <xf numFmtId="2" fontId="22" fillId="365" borderId="12" xfId="0" applyNumberFormat="1" applyFont="1" applyFill="1" applyBorder="1" applyAlignment="1">
      <alignment horizontal="center" wrapText="1"/>
    </xf>
    <xf numFmtId="2" fontId="22" fillId="478" borderId="10" xfId="0" applyNumberFormat="1" applyFont="1" applyFill="1" applyBorder="1" applyAlignment="1">
      <alignment horizontal="center" wrapText="1"/>
    </xf>
    <xf numFmtId="2" fontId="22" fillId="146" borderId="12" xfId="0" applyNumberFormat="1" applyFont="1" applyFill="1" applyBorder="1" applyAlignment="1">
      <alignment horizontal="center" wrapText="1"/>
    </xf>
    <xf numFmtId="2" fontId="22" fillId="139" borderId="12" xfId="0" applyNumberFormat="1" applyFont="1" applyFill="1" applyBorder="1" applyAlignment="1">
      <alignment horizontal="center" wrapText="1"/>
    </xf>
    <xf numFmtId="2" fontId="22" fillId="245" borderId="10" xfId="0" applyNumberFormat="1" applyFont="1" applyFill="1" applyBorder="1" applyAlignment="1">
      <alignment horizontal="center" wrapText="1"/>
    </xf>
    <xf numFmtId="2" fontId="22" fillId="284" borderId="10" xfId="0" applyNumberFormat="1" applyFont="1" applyFill="1" applyBorder="1" applyAlignment="1">
      <alignment horizontal="center" wrapText="1"/>
    </xf>
    <xf numFmtId="2" fontId="22" fillId="457" borderId="10" xfId="0" applyNumberFormat="1" applyFont="1" applyFill="1" applyBorder="1" applyAlignment="1">
      <alignment horizontal="center" wrapText="1"/>
    </xf>
    <xf numFmtId="2" fontId="22" fillId="133" borderId="10" xfId="0" applyNumberFormat="1" applyFont="1" applyFill="1" applyBorder="1" applyAlignment="1">
      <alignment horizontal="center" wrapText="1"/>
    </xf>
    <xf numFmtId="2" fontId="22" fillId="199" borderId="10" xfId="0" applyNumberFormat="1" applyFont="1" applyFill="1" applyBorder="1" applyAlignment="1">
      <alignment horizontal="center" wrapText="1"/>
    </xf>
    <xf numFmtId="2" fontId="22" fillId="298" borderId="12" xfId="0" applyNumberFormat="1" applyFont="1" applyFill="1" applyBorder="1" applyAlignment="1">
      <alignment horizontal="center" wrapText="1"/>
    </xf>
    <xf numFmtId="2" fontId="22" fillId="474" borderId="10" xfId="0" applyNumberFormat="1" applyFont="1" applyFill="1" applyBorder="1" applyAlignment="1">
      <alignment horizontal="center" wrapText="1"/>
    </xf>
    <xf numFmtId="2" fontId="22" fillId="391" borderId="10" xfId="0" applyNumberFormat="1" applyFont="1" applyFill="1" applyBorder="1" applyAlignment="1">
      <alignment horizontal="center" wrapText="1"/>
    </xf>
    <xf numFmtId="2" fontId="22" fillId="480" borderId="10" xfId="0" applyNumberFormat="1" applyFont="1" applyFill="1" applyBorder="1" applyAlignment="1">
      <alignment horizontal="center" wrapText="1"/>
    </xf>
    <xf numFmtId="2" fontId="22" fillId="430" borderId="10" xfId="0" applyNumberFormat="1" applyFont="1" applyFill="1" applyBorder="1" applyAlignment="1">
      <alignment horizontal="center" wrapText="1"/>
    </xf>
    <xf numFmtId="2" fontId="22" fillId="428" borderId="10" xfId="0" applyNumberFormat="1" applyFont="1" applyFill="1" applyBorder="1" applyAlignment="1">
      <alignment horizontal="center" wrapText="1"/>
    </xf>
    <xf numFmtId="2" fontId="22" fillId="517" borderId="10" xfId="0" applyNumberFormat="1" applyFont="1" applyFill="1" applyBorder="1" applyAlignment="1">
      <alignment horizontal="center" wrapText="1"/>
    </xf>
    <xf numFmtId="2" fontId="22" fillId="374" borderId="10" xfId="0" applyNumberFormat="1" applyFont="1" applyFill="1" applyBorder="1" applyAlignment="1">
      <alignment horizontal="center" wrapText="1"/>
    </xf>
    <xf numFmtId="2" fontId="22" fillId="276" borderId="12" xfId="0" applyNumberFormat="1" applyFont="1" applyFill="1" applyBorder="1" applyAlignment="1">
      <alignment horizontal="center" wrapText="1"/>
    </xf>
    <xf numFmtId="2" fontId="22" fillId="498" borderId="10" xfId="0" applyNumberFormat="1" applyFont="1" applyFill="1" applyBorder="1" applyAlignment="1">
      <alignment horizontal="center" wrapText="1"/>
    </xf>
    <xf numFmtId="2" fontId="22" fillId="190" borderId="10" xfId="0" applyNumberFormat="1" applyFont="1" applyFill="1" applyBorder="1" applyAlignment="1">
      <alignment horizontal="center" wrapText="1"/>
    </xf>
    <xf numFmtId="2" fontId="22" fillId="161" borderId="10" xfId="0" applyNumberFormat="1" applyFont="1" applyFill="1" applyBorder="1" applyAlignment="1">
      <alignment horizontal="center" wrapText="1"/>
    </xf>
    <xf numFmtId="2" fontId="22" fillId="94" borderId="10" xfId="0" applyNumberFormat="1" applyFont="1" applyFill="1" applyBorder="1" applyAlignment="1">
      <alignment horizontal="center" wrapText="1"/>
    </xf>
    <xf numFmtId="2" fontId="22" fillId="260" borderId="10" xfId="0" applyNumberFormat="1" applyFont="1" applyFill="1" applyBorder="1" applyAlignment="1">
      <alignment horizontal="center" wrapText="1"/>
    </xf>
    <xf numFmtId="2" fontId="22" fillId="470" borderId="10" xfId="0" applyNumberFormat="1" applyFont="1" applyFill="1" applyBorder="1" applyAlignment="1">
      <alignment horizontal="center" wrapText="1"/>
    </xf>
    <xf numFmtId="2" fontId="22" fillId="410" borderId="10" xfId="0" applyNumberFormat="1" applyFont="1" applyFill="1" applyBorder="1" applyAlignment="1">
      <alignment horizontal="center" wrapText="1"/>
    </xf>
    <xf numFmtId="2" fontId="22" fillId="509" borderId="10" xfId="0" applyNumberFormat="1" applyFont="1" applyFill="1" applyBorder="1" applyAlignment="1">
      <alignment horizontal="center" wrapText="1"/>
    </xf>
    <xf numFmtId="2" fontId="22" fillId="504" borderId="10" xfId="0" applyNumberFormat="1" applyFont="1" applyFill="1" applyBorder="1" applyAlignment="1">
      <alignment horizontal="center" wrapText="1"/>
    </xf>
    <xf numFmtId="2" fontId="22" fillId="379" borderId="10" xfId="0" applyNumberFormat="1" applyFont="1" applyFill="1" applyBorder="1" applyAlignment="1">
      <alignment horizontal="center" wrapText="1"/>
    </xf>
    <xf numFmtId="2" fontId="22" fillId="169" borderId="10" xfId="0" applyNumberFormat="1" applyFont="1" applyFill="1" applyBorder="1" applyAlignment="1">
      <alignment horizontal="center" wrapText="1"/>
    </xf>
    <xf numFmtId="2" fontId="22" fillId="294" borderId="12" xfId="0" applyNumberFormat="1" applyFont="1" applyFill="1" applyBorder="1" applyAlignment="1">
      <alignment horizontal="center" wrapText="1"/>
    </xf>
    <xf numFmtId="2" fontId="22" fillId="159" borderId="10" xfId="0" applyNumberFormat="1" applyFont="1" applyFill="1" applyBorder="1" applyAlignment="1">
      <alignment horizontal="center" wrapText="1"/>
    </xf>
    <xf numFmtId="2" fontId="22" fillId="503" borderId="10" xfId="0" applyNumberFormat="1" applyFont="1" applyFill="1" applyBorder="1" applyAlignment="1">
      <alignment horizontal="center" wrapText="1"/>
    </xf>
    <xf numFmtId="2" fontId="22" fillId="376" borderId="10" xfId="0" applyNumberFormat="1" applyFont="1" applyFill="1" applyBorder="1" applyAlignment="1">
      <alignment horizontal="center" wrapText="1"/>
    </xf>
    <xf numFmtId="2" fontId="22" fillId="414" borderId="10" xfId="0" applyNumberFormat="1" applyFont="1" applyFill="1" applyBorder="1" applyAlignment="1">
      <alignment horizontal="center" wrapText="1"/>
    </xf>
    <xf numFmtId="2" fontId="22" fillId="490" borderId="10" xfId="0" applyNumberFormat="1" applyFont="1" applyFill="1" applyBorder="1" applyAlignment="1">
      <alignment horizontal="center" wrapText="1"/>
    </xf>
    <xf numFmtId="2" fontId="22" fillId="267" borderId="10" xfId="0" applyNumberFormat="1" applyFont="1" applyFill="1" applyBorder="1" applyAlignment="1">
      <alignment horizontal="center" wrapText="1"/>
    </xf>
    <xf numFmtId="2" fontId="22" fillId="292" borderId="10" xfId="0" applyNumberFormat="1" applyFont="1" applyFill="1" applyBorder="1" applyAlignment="1">
      <alignment horizontal="center" wrapText="1"/>
    </xf>
    <xf numFmtId="2" fontId="22" fillId="422" borderId="10" xfId="0" applyNumberFormat="1" applyFont="1" applyFill="1" applyBorder="1" applyAlignment="1">
      <alignment horizontal="center" wrapText="1"/>
    </xf>
    <xf numFmtId="2" fontId="22" fillId="409" borderId="10" xfId="0" applyNumberFormat="1" applyFont="1" applyFill="1" applyBorder="1" applyAlignment="1">
      <alignment horizontal="center" wrapText="1"/>
    </xf>
    <xf numFmtId="2" fontId="22" fillId="399" borderId="10" xfId="0" applyNumberFormat="1" applyFont="1" applyFill="1" applyBorder="1" applyAlignment="1">
      <alignment horizontal="center" wrapText="1"/>
    </xf>
    <xf numFmtId="2" fontId="22" fillId="411" borderId="10" xfId="0" applyNumberFormat="1" applyFont="1" applyFill="1" applyBorder="1" applyAlignment="1">
      <alignment horizontal="center" wrapText="1"/>
    </xf>
    <xf numFmtId="2" fontId="22" fillId="375" borderId="10" xfId="0" applyNumberFormat="1" applyFont="1" applyFill="1" applyBorder="1" applyAlignment="1">
      <alignment horizontal="center" wrapText="1"/>
    </xf>
    <xf numFmtId="2" fontId="22" fillId="419" borderId="10" xfId="0" applyNumberFormat="1" applyFont="1" applyFill="1" applyBorder="1" applyAlignment="1">
      <alignment horizontal="center" wrapText="1"/>
    </xf>
    <xf numFmtId="2" fontId="22" fillId="309" borderId="10" xfId="0" applyNumberFormat="1" applyFont="1" applyFill="1" applyBorder="1" applyAlignment="1">
      <alignment horizontal="center" wrapText="1"/>
    </xf>
    <xf numFmtId="2" fontId="22" fillId="64" borderId="10" xfId="0" applyNumberFormat="1" applyFont="1" applyFill="1" applyBorder="1" applyAlignment="1">
      <alignment horizontal="center" wrapText="1"/>
    </xf>
    <xf numFmtId="2" fontId="22" fillId="522" borderId="10" xfId="0" applyNumberFormat="1" applyFont="1" applyFill="1" applyBorder="1" applyAlignment="1">
      <alignment horizontal="center" wrapText="1"/>
    </xf>
    <xf numFmtId="2" fontId="22" fillId="501" borderId="10" xfId="0" applyNumberFormat="1" applyFont="1" applyFill="1" applyBorder="1" applyAlignment="1">
      <alignment horizontal="center" wrapText="1"/>
    </xf>
    <xf numFmtId="2" fontId="22" fillId="515" borderId="10" xfId="0" applyNumberFormat="1" applyFont="1" applyFill="1" applyBorder="1" applyAlignment="1">
      <alignment horizontal="center" wrapText="1"/>
    </xf>
    <xf numFmtId="2" fontId="22" fillId="521" borderId="10" xfId="0" applyNumberFormat="1" applyFont="1" applyFill="1" applyBorder="1" applyAlignment="1">
      <alignment horizontal="center" wrapText="1"/>
    </xf>
    <xf numFmtId="2" fontId="22" fillId="174" borderId="10" xfId="0" applyNumberFormat="1" applyFont="1" applyFill="1" applyBorder="1" applyAlignment="1">
      <alignment horizontal="center" wrapText="1"/>
    </xf>
    <xf numFmtId="2" fontId="22" fillId="362" borderId="10" xfId="0" applyNumberFormat="1" applyFont="1" applyFill="1" applyBorder="1" applyAlignment="1">
      <alignment horizontal="center" wrapText="1"/>
    </xf>
    <xf numFmtId="2" fontId="22" fillId="429" borderId="10" xfId="0" applyNumberFormat="1" applyFont="1" applyFill="1" applyBorder="1" applyAlignment="1">
      <alignment horizontal="center" wrapText="1"/>
    </xf>
    <xf numFmtId="2" fontId="22" fillId="463" borderId="10" xfId="0" applyNumberFormat="1" applyFont="1" applyFill="1" applyBorder="1" applyAlignment="1">
      <alignment horizontal="center" wrapText="1"/>
    </xf>
    <xf numFmtId="2" fontId="22" fillId="438" borderId="10" xfId="0" applyNumberFormat="1" applyFont="1" applyFill="1" applyBorder="1" applyAlignment="1">
      <alignment horizontal="center" wrapText="1"/>
    </xf>
    <xf numFmtId="2" fontId="22" fillId="340" borderId="10" xfId="0" applyNumberFormat="1" applyFont="1" applyFill="1" applyBorder="1" applyAlignment="1">
      <alignment horizontal="center" wrapText="1"/>
    </xf>
    <xf numFmtId="2" fontId="22" fillId="454" borderId="10" xfId="0" applyNumberFormat="1" applyFont="1" applyFill="1" applyBorder="1" applyAlignment="1">
      <alignment horizontal="center" wrapText="1"/>
    </xf>
    <xf numFmtId="2" fontId="22" fillId="350" borderId="10" xfId="0" applyNumberFormat="1" applyFont="1" applyFill="1" applyBorder="1" applyAlignment="1">
      <alignment horizontal="center" wrapText="1"/>
    </xf>
    <xf numFmtId="2" fontId="22" fillId="409" borderId="12" xfId="0" applyNumberFormat="1" applyFont="1" applyFill="1" applyBorder="1" applyAlignment="1">
      <alignment horizontal="center" wrapText="1"/>
    </xf>
    <xf numFmtId="2" fontId="22" fillId="393" borderId="10" xfId="0" applyNumberFormat="1" applyFont="1" applyFill="1" applyBorder="1" applyAlignment="1">
      <alignment horizontal="center" wrapText="1"/>
    </xf>
    <xf numFmtId="2" fontId="22" fillId="494" borderId="10" xfId="0" applyNumberFormat="1" applyFont="1" applyFill="1" applyBorder="1" applyAlignment="1">
      <alignment horizontal="center" wrapText="1"/>
    </xf>
    <xf numFmtId="2" fontId="22" fillId="308" borderId="10" xfId="0" applyNumberFormat="1" applyFont="1" applyFill="1" applyBorder="1" applyAlignment="1">
      <alignment horizontal="center" wrapText="1"/>
    </xf>
    <xf numFmtId="2" fontId="22" fillId="320" borderId="12" xfId="0" applyNumberFormat="1" applyFont="1" applyFill="1" applyBorder="1" applyAlignment="1">
      <alignment horizontal="center" wrapText="1"/>
    </xf>
    <xf numFmtId="2" fontId="22" fillId="302" borderId="10" xfId="0" applyNumberFormat="1" applyFont="1" applyFill="1" applyBorder="1" applyAlignment="1">
      <alignment horizontal="center" wrapText="1"/>
    </xf>
    <xf numFmtId="2" fontId="22" fillId="333" borderId="10" xfId="0" applyNumberFormat="1" applyFont="1" applyFill="1" applyBorder="1" applyAlignment="1">
      <alignment horizontal="center" wrapText="1"/>
    </xf>
    <xf numFmtId="2" fontId="22" fillId="417" borderId="10" xfId="0" applyNumberFormat="1" applyFont="1" applyFill="1" applyBorder="1" applyAlignment="1">
      <alignment horizontal="center" wrapText="1"/>
    </xf>
    <xf numFmtId="2" fontId="22" fillId="442" borderId="10" xfId="0" applyNumberFormat="1" applyFont="1" applyFill="1" applyBorder="1" applyAlignment="1">
      <alignment horizontal="center" wrapText="1"/>
    </xf>
    <xf numFmtId="2" fontId="22" fillId="316" borderId="10" xfId="0" applyNumberFormat="1" applyFont="1" applyFill="1" applyBorder="1" applyAlignment="1">
      <alignment horizontal="center" wrapText="1"/>
    </xf>
    <xf numFmtId="2" fontId="22" fillId="461" borderId="10" xfId="0" applyNumberFormat="1" applyFont="1" applyFill="1" applyBorder="1" applyAlignment="1">
      <alignment horizontal="center" wrapText="1"/>
    </xf>
    <xf numFmtId="2" fontId="22" fillId="372" borderId="10" xfId="0" applyNumberFormat="1" applyFont="1" applyFill="1" applyBorder="1" applyAlignment="1">
      <alignment horizontal="center" wrapText="1"/>
    </xf>
    <xf numFmtId="2" fontId="22" fillId="412" borderId="10" xfId="0" applyNumberFormat="1" applyFont="1" applyFill="1" applyBorder="1" applyAlignment="1">
      <alignment horizontal="center" wrapText="1"/>
    </xf>
    <xf numFmtId="2" fontId="22" fillId="525" borderId="10" xfId="0" applyNumberFormat="1" applyFont="1" applyFill="1" applyBorder="1" applyAlignment="1">
      <alignment horizontal="center" wrapText="1"/>
    </xf>
    <xf numFmtId="2" fontId="22" fillId="467" borderId="10" xfId="0" applyNumberFormat="1" applyFont="1" applyFill="1" applyBorder="1" applyAlignment="1">
      <alignment horizontal="center" wrapText="1"/>
    </xf>
    <xf numFmtId="2" fontId="22" fillId="339" borderId="10" xfId="0" applyNumberFormat="1" applyFont="1" applyFill="1" applyBorder="1" applyAlignment="1">
      <alignment horizontal="center" wrapText="1"/>
    </xf>
    <xf numFmtId="2" fontId="22" fillId="330" borderId="10" xfId="0" applyNumberFormat="1" applyFont="1" applyFill="1" applyBorder="1" applyAlignment="1">
      <alignment horizontal="center" wrapText="1"/>
    </xf>
    <xf numFmtId="2" fontId="22" fillId="349" borderId="10" xfId="0" applyNumberFormat="1" applyFont="1" applyFill="1" applyBorder="1" applyAlignment="1">
      <alignment horizontal="center" wrapText="1"/>
    </xf>
    <xf numFmtId="2" fontId="22" fillId="173" borderId="12" xfId="0" applyNumberFormat="1" applyFont="1" applyFill="1" applyBorder="1" applyAlignment="1">
      <alignment horizontal="center" wrapText="1"/>
    </xf>
    <xf numFmtId="2" fontId="22" fillId="185" borderId="10" xfId="0" applyNumberFormat="1" applyFont="1" applyFill="1" applyBorder="1" applyAlignment="1">
      <alignment horizontal="center" wrapText="1"/>
    </xf>
    <xf numFmtId="2" fontId="22" fillId="206" borderId="10" xfId="0" applyNumberFormat="1" applyFont="1" applyFill="1" applyBorder="1" applyAlignment="1">
      <alignment horizontal="center" wrapText="1"/>
    </xf>
    <xf numFmtId="2" fontId="22" fillId="323" borderId="10" xfId="0" applyNumberFormat="1" applyFont="1" applyFill="1" applyBorder="1" applyAlignment="1">
      <alignment horizontal="center" wrapText="1"/>
    </xf>
    <xf numFmtId="2" fontId="22" fillId="251" borderId="10" xfId="0" applyNumberFormat="1" applyFont="1" applyFill="1" applyBorder="1" applyAlignment="1">
      <alignment horizontal="center" wrapText="1"/>
    </xf>
    <xf numFmtId="2" fontId="22" fillId="262" borderId="10" xfId="0" applyNumberFormat="1" applyFont="1" applyFill="1" applyBorder="1" applyAlignment="1">
      <alignment horizontal="center" wrapText="1"/>
    </xf>
    <xf numFmtId="2" fontId="22" fillId="244" borderId="12" xfId="0" applyNumberFormat="1" applyFont="1" applyFill="1" applyBorder="1" applyAlignment="1">
      <alignment horizontal="center" wrapText="1"/>
    </xf>
    <xf numFmtId="2" fontId="22" fillId="516" borderId="10" xfId="0" applyNumberFormat="1" applyFont="1" applyFill="1" applyBorder="1" applyAlignment="1">
      <alignment horizontal="center" wrapText="1"/>
    </xf>
    <xf numFmtId="2" fontId="22" fillId="423" borderId="12" xfId="0" applyNumberFormat="1" applyFont="1" applyFill="1" applyBorder="1" applyAlignment="1">
      <alignment horizontal="center" wrapText="1"/>
    </xf>
    <xf numFmtId="2" fontId="22" fillId="415" borderId="12" xfId="0" applyNumberFormat="1" applyFont="1" applyFill="1" applyBorder="1" applyAlignment="1">
      <alignment horizontal="center" wrapText="1"/>
    </xf>
    <xf numFmtId="2" fontId="22" fillId="354" borderId="12" xfId="0" applyNumberFormat="1" applyFont="1" applyFill="1" applyBorder="1" applyAlignment="1">
      <alignment horizontal="center" wrapText="1"/>
    </xf>
    <xf numFmtId="2" fontId="22" fillId="363" borderId="10" xfId="0" applyNumberFormat="1" applyFont="1" applyFill="1" applyBorder="1" applyAlignment="1">
      <alignment horizontal="center" wrapText="1"/>
    </xf>
    <xf numFmtId="2" fontId="22" fillId="451" borderId="10" xfId="0" applyNumberFormat="1" applyFont="1" applyFill="1" applyBorder="1" applyAlignment="1">
      <alignment horizontal="center" wrapText="1"/>
    </xf>
    <xf numFmtId="2" fontId="22" fillId="447" borderId="10" xfId="0" applyNumberFormat="1" applyFont="1" applyFill="1" applyBorder="1" applyAlignment="1">
      <alignment horizontal="center" wrapText="1"/>
    </xf>
    <xf numFmtId="2" fontId="22" fillId="394" borderId="12" xfId="0" applyNumberFormat="1" applyFont="1" applyFill="1" applyBorder="1" applyAlignment="1">
      <alignment horizontal="center" wrapText="1"/>
    </xf>
    <xf numFmtId="2" fontId="22" fillId="432" borderId="12" xfId="0" applyNumberFormat="1" applyFont="1" applyFill="1" applyBorder="1" applyAlignment="1">
      <alignment horizontal="center" wrapText="1"/>
    </xf>
    <xf numFmtId="2" fontId="22" fillId="310" borderId="10" xfId="0" applyNumberFormat="1" applyFont="1" applyFill="1" applyBorder="1" applyAlignment="1">
      <alignment horizontal="center" wrapText="1"/>
    </xf>
    <xf numFmtId="2" fontId="22" fillId="449" borderId="12" xfId="0" applyNumberFormat="1" applyFont="1" applyFill="1" applyBorder="1" applyAlignment="1">
      <alignment horizontal="center" wrapText="1"/>
    </xf>
    <xf numFmtId="2" fontId="22" fillId="530" borderId="12" xfId="0" applyNumberFormat="1" applyFont="1" applyFill="1" applyBorder="1" applyAlignment="1">
      <alignment horizontal="center" wrapText="1"/>
    </xf>
    <xf numFmtId="2" fontId="22" fillId="236" borderId="12" xfId="0" applyNumberFormat="1" applyFont="1" applyFill="1" applyBorder="1" applyAlignment="1">
      <alignment horizontal="center" wrapText="1"/>
    </xf>
    <xf numFmtId="2" fontId="22" fillId="400" borderId="12" xfId="0" applyNumberFormat="1" applyFont="1" applyFill="1" applyBorder="1" applyAlignment="1">
      <alignment horizontal="center" wrapText="1"/>
    </xf>
    <xf numFmtId="2" fontId="22" fillId="499" borderId="12" xfId="0" applyNumberFormat="1" applyFont="1" applyFill="1" applyBorder="1" applyAlignment="1">
      <alignment horizontal="center" wrapText="1"/>
    </xf>
    <xf numFmtId="2" fontId="22" fillId="407" borderId="12" xfId="0" applyNumberFormat="1" applyFont="1" applyFill="1" applyBorder="1" applyAlignment="1">
      <alignment horizontal="center" wrapText="1"/>
    </xf>
    <xf numFmtId="2" fontId="22" fillId="281" borderId="12" xfId="0" applyNumberFormat="1" applyFont="1" applyFill="1" applyBorder="1" applyAlignment="1">
      <alignment horizontal="center" wrapText="1"/>
    </xf>
    <xf numFmtId="2" fontId="22" fillId="464" borderId="10" xfId="0" applyNumberFormat="1" applyFont="1" applyFill="1" applyBorder="1" applyAlignment="1">
      <alignment horizontal="center" wrapText="1"/>
    </xf>
    <xf numFmtId="2" fontId="22" fillId="465" borderId="12" xfId="0" applyNumberFormat="1" applyFont="1" applyFill="1" applyBorder="1" applyAlignment="1">
      <alignment horizontal="center" wrapText="1"/>
    </xf>
    <xf numFmtId="2" fontId="22" fillId="402" borderId="12" xfId="0" applyNumberFormat="1" applyFont="1" applyFill="1" applyBorder="1" applyAlignment="1">
      <alignment horizontal="center" wrapText="1"/>
    </xf>
    <xf numFmtId="2" fontId="22" fillId="338" borderId="10" xfId="0" applyNumberFormat="1" applyFont="1" applyFill="1" applyBorder="1" applyAlignment="1">
      <alignment horizontal="center" wrapText="1"/>
    </xf>
    <xf numFmtId="2" fontId="22" fillId="424" borderId="10" xfId="0" applyNumberFormat="1" applyFont="1" applyFill="1" applyBorder="1" applyAlignment="1">
      <alignment horizontal="center" wrapText="1"/>
    </xf>
    <xf numFmtId="2" fontId="22" fillId="512" borderId="12" xfId="0" applyNumberFormat="1" applyFont="1" applyFill="1" applyBorder="1" applyAlignment="1">
      <alignment horizontal="center" wrapText="1"/>
    </xf>
    <xf numFmtId="2" fontId="22" fillId="401" borderId="12" xfId="0" applyNumberFormat="1" applyFont="1" applyFill="1" applyBorder="1" applyAlignment="1">
      <alignment horizontal="center" wrapText="1"/>
    </xf>
    <xf numFmtId="2" fontId="22" fillId="358" borderId="12" xfId="0" applyNumberFormat="1" applyFont="1" applyFill="1" applyBorder="1" applyAlignment="1">
      <alignment horizontal="center" wrapText="1"/>
    </xf>
    <xf numFmtId="2" fontId="22" fillId="288" borderId="12" xfId="0" applyNumberFormat="1" applyFont="1" applyFill="1" applyBorder="1" applyAlignment="1">
      <alignment horizontal="center" wrapText="1"/>
    </xf>
    <xf numFmtId="2" fontId="22" fillId="445" borderId="12" xfId="0" applyNumberFormat="1" applyFont="1" applyFill="1" applyBorder="1" applyAlignment="1">
      <alignment horizontal="center" wrapText="1"/>
    </xf>
    <xf numFmtId="2" fontId="22" fillId="420" borderId="12" xfId="0" applyNumberFormat="1" applyFont="1" applyFill="1" applyBorder="1" applyAlignment="1">
      <alignment horizontal="center" wrapText="1"/>
    </xf>
    <xf numFmtId="2" fontId="22" fillId="271" borderId="10" xfId="0" applyNumberFormat="1" applyFont="1" applyFill="1" applyBorder="1" applyAlignment="1">
      <alignment horizontal="center" wrapText="1"/>
    </xf>
    <xf numFmtId="2" fontId="22" fillId="346" borderId="10" xfId="0" applyNumberFormat="1" applyFont="1" applyFill="1" applyBorder="1" applyAlignment="1">
      <alignment horizontal="center" wrapText="1"/>
    </xf>
    <xf numFmtId="2" fontId="22" fillId="505" borderId="12" xfId="0" applyNumberFormat="1" applyFont="1" applyFill="1" applyBorder="1" applyAlignment="1">
      <alignment horizontal="center" wrapText="1"/>
    </xf>
    <xf numFmtId="2" fontId="22" fillId="44" borderId="10" xfId="0" applyNumberFormat="1" applyFont="1" applyFill="1" applyBorder="1" applyAlignment="1">
      <alignment horizontal="center" wrapText="1"/>
    </xf>
    <xf numFmtId="2" fontId="22" fillId="359" borderId="12" xfId="0" applyNumberFormat="1" applyFont="1" applyFill="1" applyBorder="1" applyAlignment="1">
      <alignment horizontal="center" wrapText="1"/>
    </xf>
    <xf numFmtId="2" fontId="22" fillId="396" borderId="10" xfId="0" applyNumberFormat="1" applyFont="1" applyFill="1" applyBorder="1" applyAlignment="1">
      <alignment horizontal="center" wrapText="1"/>
    </xf>
    <xf numFmtId="2" fontId="22" fillId="439" borderId="12" xfId="0" applyNumberFormat="1" applyFont="1" applyFill="1" applyBorder="1" applyAlignment="1">
      <alignment horizontal="center" wrapText="1"/>
    </xf>
    <xf numFmtId="2" fontId="22" fillId="496" borderId="10" xfId="0" applyNumberFormat="1" applyFont="1" applyFill="1" applyBorder="1" applyAlignment="1">
      <alignment horizontal="center" wrapText="1"/>
    </xf>
    <xf numFmtId="2" fontId="22" fillId="491" borderId="12" xfId="0" applyNumberFormat="1" applyFont="1" applyFill="1" applyBorder="1" applyAlignment="1">
      <alignment horizontal="center" wrapText="1"/>
    </xf>
    <xf numFmtId="2" fontId="22" fillId="466" borderId="12" xfId="0" applyNumberFormat="1" applyFont="1" applyFill="1" applyBorder="1" applyAlignment="1">
      <alignment horizontal="center" wrapText="1"/>
    </xf>
    <xf numFmtId="2" fontId="22" fillId="443" borderId="10" xfId="0" applyNumberFormat="1" applyFont="1" applyFill="1" applyBorder="1" applyAlignment="1">
      <alignment horizontal="center" wrapText="1"/>
    </xf>
    <xf numFmtId="2" fontId="22" fillId="319" borderId="10" xfId="0" applyNumberFormat="1" applyFont="1" applyFill="1" applyBorder="1" applyAlignment="1">
      <alignment horizontal="center" wrapText="1"/>
    </xf>
    <xf numFmtId="2" fontId="22" fillId="535" borderId="12" xfId="0" applyNumberFormat="1" applyFont="1" applyFill="1" applyBorder="1" applyAlignment="1">
      <alignment horizontal="center" wrapText="1"/>
    </xf>
    <xf numFmtId="2" fontId="22" fillId="434" borderId="10" xfId="0" applyNumberFormat="1" applyFont="1" applyFill="1" applyBorder="1" applyAlignment="1">
      <alignment horizontal="center" wrapText="1"/>
    </xf>
    <xf numFmtId="2" fontId="22" fillId="455" borderId="12" xfId="0" applyNumberFormat="1" applyFont="1" applyFill="1" applyBorder="1" applyAlignment="1">
      <alignment horizontal="center" wrapText="1"/>
    </xf>
    <xf numFmtId="2" fontId="22" fillId="431" borderId="12" xfId="0" applyNumberFormat="1" applyFont="1" applyFill="1" applyBorder="1" applyAlignment="1">
      <alignment horizontal="center" wrapText="1"/>
    </xf>
    <xf numFmtId="2" fontId="22" fillId="513" borderId="12" xfId="0" applyNumberFormat="1" applyFont="1" applyFill="1" applyBorder="1" applyAlignment="1">
      <alignment horizontal="center" wrapText="1"/>
    </xf>
    <xf numFmtId="2" fontId="22" fillId="364" borderId="10" xfId="0" applyNumberFormat="1" applyFont="1" applyFill="1" applyBorder="1" applyAlignment="1">
      <alignment horizontal="center" wrapText="1"/>
    </xf>
    <xf numFmtId="2" fontId="22" fillId="408" borderId="12" xfId="0" applyNumberFormat="1" applyFont="1" applyFill="1" applyBorder="1" applyAlignment="1">
      <alignment horizontal="center" wrapText="1"/>
    </xf>
    <xf numFmtId="2" fontId="22" fillId="526" borderId="12" xfId="0" applyNumberFormat="1" applyFont="1" applyFill="1" applyBorder="1" applyAlignment="1">
      <alignment horizontal="center" wrapText="1"/>
    </xf>
    <xf numFmtId="2" fontId="22" fillId="547" borderId="12" xfId="0" applyNumberFormat="1" applyFont="1" applyFill="1" applyBorder="1" applyAlignment="1">
      <alignment horizontal="center" wrapText="1"/>
    </xf>
    <xf numFmtId="2" fontId="22" fillId="534" borderId="12" xfId="0" applyNumberFormat="1" applyFont="1" applyFill="1" applyBorder="1" applyAlignment="1">
      <alignment horizontal="center" wrapText="1"/>
    </xf>
    <xf numFmtId="2" fontId="22" fillId="507" borderId="12" xfId="0" applyNumberFormat="1" applyFont="1" applyFill="1" applyBorder="1" applyAlignment="1">
      <alignment horizontal="center" wrapText="1"/>
    </xf>
    <xf numFmtId="2" fontId="22" fillId="310" borderId="12" xfId="0" applyNumberFormat="1" applyFont="1" applyFill="1" applyBorder="1" applyAlignment="1">
      <alignment horizontal="center" wrapText="1"/>
    </xf>
    <xf numFmtId="2" fontId="22" fillId="470" borderId="12" xfId="0" applyNumberFormat="1" applyFont="1" applyFill="1" applyBorder="1" applyAlignment="1">
      <alignment horizontal="center" wrapText="1"/>
    </xf>
    <xf numFmtId="2" fontId="22" fillId="49" borderId="10" xfId="0" applyNumberFormat="1" applyFont="1" applyFill="1" applyBorder="1" applyAlignment="1">
      <alignment horizontal="center" wrapText="1"/>
    </xf>
    <xf numFmtId="2" fontId="22" fillId="495" borderId="12" xfId="0" applyNumberFormat="1" applyFont="1" applyFill="1" applyBorder="1" applyAlignment="1">
      <alignment horizontal="center" wrapText="1"/>
    </xf>
    <xf numFmtId="2" fontId="22" fillId="345" borderId="12" xfId="0" applyNumberFormat="1" applyFont="1" applyFill="1" applyBorder="1" applyAlignment="1">
      <alignment horizontal="center" wrapText="1"/>
    </xf>
    <xf numFmtId="2" fontId="22" fillId="219" borderId="12" xfId="0" applyNumberFormat="1" applyFont="1" applyFill="1" applyBorder="1" applyAlignment="1">
      <alignment horizontal="center" wrapText="1"/>
    </xf>
    <xf numFmtId="2" fontId="22" fillId="193" borderId="12" xfId="0" applyNumberFormat="1" applyFont="1" applyFill="1" applyBorder="1" applyAlignment="1">
      <alignment horizontal="center" wrapText="1"/>
    </xf>
    <xf numFmtId="2" fontId="22" fillId="227" borderId="10" xfId="0" applyNumberFormat="1" applyFont="1" applyFill="1" applyBorder="1" applyAlignment="1">
      <alignment horizontal="center" wrapText="1"/>
    </xf>
    <xf numFmtId="2" fontId="22" fillId="334" borderId="12" xfId="0" applyNumberFormat="1" applyFont="1" applyFill="1" applyBorder="1" applyAlignment="1">
      <alignment horizontal="center" wrapText="1"/>
    </xf>
    <xf numFmtId="2" fontId="22" fillId="382" borderId="12" xfId="0" applyNumberFormat="1" applyFont="1" applyFill="1" applyBorder="1" applyAlignment="1">
      <alignment horizontal="center" wrapText="1"/>
    </xf>
    <xf numFmtId="2" fontId="22" fillId="233" borderId="12" xfId="0" applyNumberFormat="1" applyFont="1" applyFill="1" applyBorder="1" applyAlignment="1">
      <alignment horizontal="center" wrapText="1"/>
    </xf>
    <xf numFmtId="2" fontId="22" fillId="490" borderId="12" xfId="0" applyNumberFormat="1" applyFont="1" applyFill="1" applyBorder="1" applyAlignment="1">
      <alignment horizontal="center" wrapText="1"/>
    </xf>
    <xf numFmtId="2" fontId="22" fillId="232" borderId="12" xfId="0" applyNumberFormat="1" applyFont="1" applyFill="1" applyBorder="1" applyAlignment="1">
      <alignment horizontal="center" wrapText="1"/>
    </xf>
    <xf numFmtId="2" fontId="22" fillId="63" borderId="12" xfId="0" applyNumberFormat="1" applyFont="1" applyFill="1" applyBorder="1" applyAlignment="1">
      <alignment horizontal="center" wrapText="1"/>
    </xf>
    <xf numFmtId="2" fontId="22" fillId="296" borderId="12" xfId="0" applyNumberFormat="1" applyFont="1" applyFill="1" applyBorder="1" applyAlignment="1">
      <alignment horizontal="center" wrapText="1"/>
    </xf>
    <xf numFmtId="2" fontId="22" fillId="471" borderId="10" xfId="0" applyNumberFormat="1" applyFont="1" applyFill="1" applyBorder="1" applyAlignment="1">
      <alignment horizontal="center" wrapText="1"/>
    </xf>
    <xf numFmtId="2" fontId="22" fillId="260" borderId="12" xfId="0" applyNumberFormat="1" applyFont="1" applyFill="1" applyBorder="1" applyAlignment="1">
      <alignment horizontal="center" wrapText="1"/>
    </xf>
    <xf numFmtId="2" fontId="22" fillId="377" borderId="10" xfId="0" applyNumberFormat="1" applyFont="1" applyFill="1" applyBorder="1" applyAlignment="1">
      <alignment horizontal="center" wrapText="1"/>
    </xf>
    <xf numFmtId="2" fontId="22" fillId="237" borderId="10" xfId="0" applyNumberFormat="1" applyFont="1" applyFill="1" applyBorder="1" applyAlignment="1">
      <alignment horizontal="center" wrapText="1"/>
    </xf>
    <xf numFmtId="2" fontId="22" fillId="118" borderId="12" xfId="0" applyNumberFormat="1" applyFont="1" applyFill="1" applyBorder="1" applyAlignment="1">
      <alignment horizontal="center" wrapText="1"/>
    </xf>
    <xf numFmtId="2" fontId="22" fillId="131" borderId="12" xfId="0" applyNumberFormat="1" applyFont="1" applyFill="1" applyBorder="1" applyAlignment="1">
      <alignment horizontal="center" wrapText="1"/>
    </xf>
    <xf numFmtId="2" fontId="22" fillId="307" borderId="12" xfId="0" applyNumberFormat="1" applyFont="1" applyFill="1" applyBorder="1" applyAlignment="1">
      <alignment horizontal="center" wrapText="1"/>
    </xf>
    <xf numFmtId="2" fontId="22" fillId="231" borderId="10" xfId="0" applyNumberFormat="1" applyFont="1" applyFill="1" applyBorder="1" applyAlignment="1">
      <alignment horizontal="center" wrapText="1"/>
    </xf>
    <xf numFmtId="2" fontId="22" fillId="474" borderId="12" xfId="0" applyNumberFormat="1" applyFont="1" applyFill="1" applyBorder="1" applyAlignment="1">
      <alignment horizontal="center" wrapText="1"/>
    </xf>
    <xf numFmtId="2" fontId="22" fillId="257" borderId="12" xfId="0" applyNumberFormat="1" applyFont="1" applyFill="1" applyBorder="1" applyAlignment="1">
      <alignment horizontal="center" wrapText="1"/>
    </xf>
    <xf numFmtId="2" fontId="22" fillId="222" borderId="10" xfId="0" applyNumberFormat="1" applyFont="1" applyFill="1" applyBorder="1" applyAlignment="1">
      <alignment horizontal="center" wrapText="1"/>
    </xf>
    <xf numFmtId="2" fontId="22" fillId="387" borderId="12" xfId="0" applyNumberFormat="1" applyFont="1" applyFill="1" applyBorder="1" applyAlignment="1">
      <alignment horizontal="center" wrapText="1"/>
    </xf>
    <xf numFmtId="2" fontId="22" fillId="155" borderId="10" xfId="0" applyNumberFormat="1" applyFont="1" applyFill="1" applyBorder="1" applyAlignment="1">
      <alignment horizontal="center" wrapText="1"/>
    </xf>
    <xf numFmtId="2" fontId="22" fillId="404" borderId="12" xfId="0" applyNumberFormat="1" applyFont="1" applyFill="1" applyBorder="1" applyAlignment="1">
      <alignment horizontal="center" wrapText="1"/>
    </xf>
    <xf numFmtId="2" fontId="22" fillId="283" borderId="12" xfId="0" applyNumberFormat="1" applyFont="1" applyFill="1" applyBorder="1" applyAlignment="1">
      <alignment horizontal="center" wrapText="1"/>
    </xf>
    <xf numFmtId="2" fontId="22" fillId="478" borderId="12" xfId="0" applyNumberFormat="1" applyFont="1" applyFill="1" applyBorder="1" applyAlignment="1">
      <alignment horizontal="center" wrapText="1"/>
    </xf>
    <xf numFmtId="2" fontId="22" fillId="278" borderId="10" xfId="0" applyNumberFormat="1" applyFont="1" applyFill="1" applyBorder="1" applyAlignment="1">
      <alignment horizontal="center" wrapText="1"/>
    </xf>
    <xf numFmtId="2" fontId="22" fillId="201" borderId="10" xfId="0" applyNumberFormat="1" applyFont="1" applyFill="1" applyBorder="1" applyAlignment="1">
      <alignment horizontal="center" wrapText="1"/>
    </xf>
    <xf numFmtId="2" fontId="22" fillId="383" borderId="12" xfId="0" applyNumberFormat="1" applyFont="1" applyFill="1" applyBorder="1" applyAlignment="1">
      <alignment horizontal="center" wrapText="1"/>
    </xf>
    <xf numFmtId="2" fontId="22" fillId="207" borderId="10" xfId="0" applyNumberFormat="1" applyFont="1" applyFill="1" applyBorder="1" applyAlignment="1">
      <alignment horizontal="center" wrapText="1"/>
    </xf>
    <xf numFmtId="2" fontId="22" fillId="257" borderId="10" xfId="0" applyNumberFormat="1" applyFont="1" applyFill="1" applyBorder="1" applyAlignment="1">
      <alignment horizontal="center" wrapText="1"/>
    </xf>
    <xf numFmtId="2" fontId="22" fillId="433" borderId="10" xfId="0" applyNumberFormat="1" applyFont="1" applyFill="1" applyBorder="1" applyAlignment="1">
      <alignment horizontal="center" wrapText="1"/>
    </xf>
    <xf numFmtId="2" fontId="22" fillId="338" borderId="12" xfId="0" applyNumberFormat="1" applyFont="1" applyFill="1" applyBorder="1" applyAlignment="1">
      <alignment horizontal="center" wrapText="1"/>
    </xf>
    <xf numFmtId="2" fontId="22" fillId="481" borderId="10" xfId="0" applyNumberFormat="1" applyFont="1" applyFill="1" applyBorder="1" applyAlignment="1">
      <alignment horizontal="center" wrapText="1"/>
    </xf>
    <xf numFmtId="2" fontId="22" fillId="521" borderId="12" xfId="0" applyNumberFormat="1" applyFont="1" applyFill="1" applyBorder="1" applyAlignment="1">
      <alignment horizontal="center" wrapText="1"/>
    </xf>
    <xf numFmtId="2" fontId="22" fillId="367" borderId="10" xfId="0" applyNumberFormat="1" applyFont="1" applyFill="1" applyBorder="1" applyAlignment="1">
      <alignment horizontal="center" wrapText="1"/>
    </xf>
    <xf numFmtId="2" fontId="22" fillId="235" borderId="10" xfId="0" applyNumberFormat="1" applyFont="1" applyFill="1" applyBorder="1" applyAlignment="1">
      <alignment horizontal="center" wrapText="1"/>
    </xf>
    <xf numFmtId="2" fontId="22" fillId="361" borderId="10" xfId="0" applyNumberFormat="1" applyFont="1" applyFill="1" applyBorder="1" applyAlignment="1">
      <alignment horizontal="center" wrapText="1"/>
    </xf>
    <xf numFmtId="2" fontId="22" fillId="104" borderId="12" xfId="0" applyNumberFormat="1" applyFont="1" applyFill="1" applyBorder="1" applyAlignment="1">
      <alignment horizontal="center" wrapText="1"/>
    </xf>
    <xf numFmtId="2" fontId="22" fillId="357" borderId="10" xfId="0" applyNumberFormat="1" applyFont="1" applyFill="1" applyBorder="1" applyAlignment="1">
      <alignment horizontal="center" wrapText="1"/>
    </xf>
    <xf numFmtId="2" fontId="22" fillId="485" borderId="10" xfId="0" applyNumberFormat="1" applyFont="1" applyFill="1" applyBorder="1" applyAlignment="1">
      <alignment horizontal="center" wrapText="1"/>
    </xf>
    <xf numFmtId="2" fontId="22" fillId="453" borderId="10" xfId="0" applyNumberFormat="1" applyFont="1" applyFill="1" applyBorder="1" applyAlignment="1">
      <alignment horizontal="center" wrapText="1"/>
    </xf>
    <xf numFmtId="2" fontId="22" fillId="203" borderId="12" xfId="0" applyNumberFormat="1" applyFont="1" applyFill="1" applyBorder="1" applyAlignment="1">
      <alignment horizontal="center" wrapText="1"/>
    </xf>
    <xf numFmtId="2" fontId="22" fillId="352" borderId="10" xfId="0" applyNumberFormat="1" applyFont="1" applyFill="1" applyBorder="1" applyAlignment="1">
      <alignment horizontal="center" wrapText="1"/>
    </xf>
    <xf numFmtId="2" fontId="22" fillId="437" borderId="10" xfId="0" applyNumberFormat="1" applyFont="1" applyFill="1" applyBorder="1" applyAlignment="1">
      <alignment horizontal="center" wrapText="1"/>
    </xf>
    <xf numFmtId="2" fontId="22" fillId="318" borderId="12" xfId="0" applyNumberFormat="1" applyFont="1" applyFill="1" applyBorder="1" applyAlignment="1">
      <alignment horizontal="center" wrapText="1"/>
    </xf>
    <xf numFmtId="2" fontId="22" fillId="297" borderId="10" xfId="0" applyNumberFormat="1" applyFont="1" applyFill="1" applyBorder="1" applyAlignment="1">
      <alignment horizontal="center" wrapText="1"/>
    </xf>
    <xf numFmtId="2" fontId="22" fillId="397" borderId="10" xfId="0" applyNumberFormat="1" applyFont="1" applyFill="1" applyBorder="1" applyAlignment="1">
      <alignment horizontal="center" wrapText="1"/>
    </xf>
    <xf numFmtId="2" fontId="22" fillId="187" borderId="12" xfId="0" applyNumberFormat="1" applyFont="1" applyFill="1" applyBorder="1" applyAlignment="1">
      <alignment horizontal="center" wrapText="1"/>
    </xf>
    <xf numFmtId="2" fontId="22" fillId="381" borderId="10" xfId="0" applyNumberFormat="1" applyFont="1" applyFill="1" applyBorder="1" applyAlignment="1">
      <alignment horizontal="center" wrapText="1"/>
    </xf>
    <xf numFmtId="2" fontId="22" fillId="453" borderId="12" xfId="0" applyNumberFormat="1" applyFont="1" applyFill="1" applyBorder="1" applyAlignment="1">
      <alignment horizontal="center" wrapText="1"/>
    </xf>
    <xf numFmtId="0" fontId="20" fillId="0" borderId="0" xfId="0" applyFont="1" applyFill="1" applyAlignment="1">
      <alignment horizontal="center" wrapText="1"/>
    </xf>
    <xf numFmtId="2" fontId="24" fillId="487" borderId="0" xfId="0" applyNumberFormat="1" applyFont="1" applyFill="1" applyAlignment="1">
      <alignment horizontal="center" wrapText="1"/>
    </xf>
    <xf numFmtId="2" fontId="24" fillId="397" borderId="10" xfId="0" applyNumberFormat="1" applyFont="1" applyFill="1" applyBorder="1" applyAlignment="1">
      <alignment horizontal="center" wrapText="1"/>
    </xf>
    <xf numFmtId="2" fontId="24" fillId="519" borderId="0" xfId="0" applyNumberFormat="1" applyFont="1" applyFill="1" applyBorder="1" applyAlignment="1">
      <alignment horizontal="center" wrapText="1"/>
    </xf>
    <xf numFmtId="2" fontId="24" fillId="311" borderId="14" xfId="0" applyNumberFormat="1" applyFont="1" applyFill="1" applyBorder="1" applyAlignment="1">
      <alignment horizontal="center" wrapText="1"/>
    </xf>
    <xf numFmtId="2" fontId="24" fillId="524" borderId="0" xfId="0" applyNumberFormat="1" applyFont="1" applyFill="1" applyBorder="1" applyAlignment="1">
      <alignment horizontal="center" wrapText="1"/>
    </xf>
    <xf numFmtId="2" fontId="24" fillId="513" borderId="12" xfId="0" applyNumberFormat="1" applyFont="1" applyFill="1" applyBorder="1" applyAlignment="1">
      <alignment horizontal="center" wrapText="1"/>
    </xf>
    <xf numFmtId="2" fontId="24" fillId="403" borderId="13" xfId="0" applyNumberFormat="1" applyFont="1" applyFill="1" applyBorder="1" applyAlignment="1">
      <alignment horizontal="center" wrapText="1"/>
    </xf>
    <xf numFmtId="2" fontId="24" fillId="497" borderId="0" xfId="0" applyNumberFormat="1" applyFont="1" applyFill="1" applyBorder="1" applyAlignment="1">
      <alignment horizontal="center" wrapText="1"/>
    </xf>
    <xf numFmtId="2" fontId="24" fillId="241" borderId="14" xfId="0" applyNumberFormat="1" applyFont="1" applyFill="1" applyBorder="1" applyAlignment="1">
      <alignment horizontal="center" wrapText="1"/>
    </xf>
    <xf numFmtId="2" fontId="24" fillId="343" borderId="0" xfId="0" applyNumberFormat="1" applyFont="1" applyFill="1" applyBorder="1" applyAlignment="1">
      <alignment horizontal="center" wrapText="1"/>
    </xf>
    <xf numFmtId="2" fontId="24" fillId="521" borderId="0" xfId="0" applyNumberFormat="1" applyFont="1" applyFill="1" applyBorder="1" applyAlignment="1">
      <alignment horizontal="center" wrapText="1"/>
    </xf>
    <xf numFmtId="2" fontId="24" fillId="516" borderId="13" xfId="0" applyNumberFormat="1" applyFont="1" applyFill="1" applyBorder="1" applyAlignment="1">
      <alignment horizontal="center" wrapText="1"/>
    </xf>
    <xf numFmtId="2" fontId="24" fillId="545" borderId="0" xfId="0" applyNumberFormat="1" applyFont="1" applyFill="1" applyAlignment="1">
      <alignment horizontal="center" wrapText="1"/>
    </xf>
    <xf numFmtId="2" fontId="24" fillId="543" borderId="0" xfId="0" applyNumberFormat="1" applyFont="1" applyFill="1" applyBorder="1" applyAlignment="1">
      <alignment horizontal="center" wrapText="1"/>
    </xf>
    <xf numFmtId="2" fontId="24" fillId="369" borderId="14" xfId="0" applyNumberFormat="1" applyFont="1" applyFill="1" applyBorder="1" applyAlignment="1">
      <alignment horizontal="center" wrapText="1"/>
    </xf>
    <xf numFmtId="2" fontId="24" fillId="68" borderId="0" xfId="0" applyNumberFormat="1" applyFont="1" applyFill="1" applyBorder="1" applyAlignment="1">
      <alignment horizontal="center" wrapText="1"/>
    </xf>
    <xf numFmtId="2" fontId="24" fillId="104" borderId="12" xfId="0" applyNumberFormat="1" applyFont="1" applyFill="1" applyBorder="1" applyAlignment="1">
      <alignment horizontal="center" wrapText="1"/>
    </xf>
    <xf numFmtId="2" fontId="24" fillId="453" borderId="0" xfId="0" applyNumberFormat="1" applyFont="1" applyFill="1" applyBorder="1" applyAlignment="1">
      <alignment horizontal="center" wrapText="1"/>
    </xf>
    <xf numFmtId="2" fontId="24" fillId="441" borderId="13" xfId="0" applyNumberFormat="1" applyFont="1" applyFill="1" applyBorder="1" applyAlignment="1">
      <alignment horizontal="center" wrapText="1"/>
    </xf>
    <xf numFmtId="2" fontId="24" fillId="538" borderId="0" xfId="0" applyNumberFormat="1" applyFont="1" applyFill="1" applyAlignment="1">
      <alignment horizontal="center" wrapText="1"/>
    </xf>
    <xf numFmtId="2" fontId="24" fillId="352" borderId="10" xfId="0" applyNumberFormat="1" applyFont="1" applyFill="1" applyBorder="1" applyAlignment="1">
      <alignment horizontal="center" wrapText="1"/>
    </xf>
    <xf numFmtId="2" fontId="24" fillId="65" borderId="12" xfId="0" applyNumberFormat="1" applyFont="1" applyFill="1" applyBorder="1" applyAlignment="1">
      <alignment horizontal="center" wrapText="1"/>
    </xf>
    <xf numFmtId="2" fontId="24" fillId="346" borderId="14" xfId="0" applyNumberFormat="1" applyFont="1" applyFill="1" applyBorder="1" applyAlignment="1">
      <alignment horizontal="center" wrapText="1"/>
    </xf>
    <xf numFmtId="2" fontId="24" fillId="207" borderId="10" xfId="0" applyNumberFormat="1" applyFont="1" applyFill="1" applyBorder="1" applyAlignment="1">
      <alignment horizontal="center" wrapText="1"/>
    </xf>
    <xf numFmtId="2" fontId="24" fillId="372" borderId="14" xfId="0" applyNumberFormat="1" applyFont="1" applyFill="1" applyBorder="1" applyAlignment="1">
      <alignment horizontal="center" wrapText="1"/>
    </xf>
    <xf numFmtId="2" fontId="24" fillId="319" borderId="0" xfId="0" applyNumberFormat="1" applyFont="1" applyFill="1" applyBorder="1" applyAlignment="1">
      <alignment horizontal="center" wrapText="1"/>
    </xf>
    <xf numFmtId="2" fontId="24" fillId="65" borderId="13" xfId="0" applyNumberFormat="1" applyFont="1" applyFill="1" applyBorder="1" applyAlignment="1">
      <alignment horizontal="center" wrapText="1"/>
    </xf>
    <xf numFmtId="2" fontId="24" fillId="203" borderId="12" xfId="0" applyNumberFormat="1" applyFont="1" applyFill="1" applyBorder="1" applyAlignment="1">
      <alignment horizontal="center" wrapText="1"/>
    </xf>
    <xf numFmtId="2" fontId="24" fillId="485" borderId="13" xfId="0" applyNumberFormat="1" applyFont="1" applyFill="1" applyBorder="1" applyAlignment="1">
      <alignment horizontal="center" wrapText="1"/>
    </xf>
    <xf numFmtId="2" fontId="24" fillId="497" borderId="0" xfId="0" applyNumberFormat="1" applyFont="1" applyFill="1" applyAlignment="1">
      <alignment horizontal="center" wrapText="1"/>
    </xf>
    <xf numFmtId="2" fontId="24" fillId="519" borderId="0" xfId="0" applyNumberFormat="1" applyFont="1" applyFill="1" applyAlignment="1">
      <alignment horizontal="center" wrapText="1"/>
    </xf>
    <xf numFmtId="2" fontId="24" fillId="528" borderId="0" xfId="0" applyNumberFormat="1" applyFont="1" applyFill="1" applyAlignment="1">
      <alignment horizontal="center" wrapText="1"/>
    </xf>
    <xf numFmtId="2" fontId="24" fillId="222" borderId="10" xfId="0" applyNumberFormat="1" applyFont="1" applyFill="1" applyBorder="1" applyAlignment="1">
      <alignment horizontal="center" wrapText="1"/>
    </xf>
    <xf numFmtId="2" fontId="24" fillId="327" borderId="13" xfId="0" applyNumberFormat="1" applyFont="1" applyFill="1" applyBorder="1" applyAlignment="1">
      <alignment horizontal="center" wrapText="1"/>
    </xf>
    <xf numFmtId="2" fontId="24" fillId="278" borderId="10" xfId="0" applyNumberFormat="1" applyFont="1" applyFill="1" applyBorder="1" applyAlignment="1">
      <alignment horizontal="center" wrapText="1"/>
    </xf>
    <xf numFmtId="2" fontId="24" fillId="377" borderId="10" xfId="0" applyNumberFormat="1" applyFont="1" applyFill="1" applyBorder="1" applyAlignment="1">
      <alignment horizontal="center" wrapText="1"/>
    </xf>
    <xf numFmtId="2" fontId="24" fillId="430" borderId="14" xfId="0" applyNumberFormat="1" applyFont="1" applyFill="1" applyBorder="1" applyAlignment="1">
      <alignment horizontal="center" wrapText="1"/>
    </xf>
    <xf numFmtId="2" fontId="24" fillId="187" borderId="12" xfId="0" applyNumberFormat="1" applyFont="1" applyFill="1" applyBorder="1" applyAlignment="1">
      <alignment horizontal="center" wrapText="1"/>
    </xf>
    <xf numFmtId="2" fontId="24" fillId="381" borderId="10" xfId="0" applyNumberFormat="1" applyFont="1" applyFill="1" applyBorder="1" applyAlignment="1">
      <alignment horizontal="center" wrapText="1"/>
    </xf>
    <xf numFmtId="2" fontId="24" fillId="521" borderId="12" xfId="0" applyNumberFormat="1" applyFont="1" applyFill="1" applyBorder="1" applyAlignment="1">
      <alignment horizontal="center" wrapText="1"/>
    </xf>
    <xf numFmtId="2" fontId="24" fillId="453" borderId="12" xfId="0" applyNumberFormat="1" applyFont="1" applyFill="1" applyBorder="1" applyAlignment="1">
      <alignment horizontal="center" wrapText="1"/>
    </xf>
    <xf numFmtId="2" fontId="24" fillId="525" borderId="0" xfId="0" applyNumberFormat="1" applyFont="1" applyFill="1" applyAlignment="1">
      <alignment horizontal="center" wrapText="1"/>
    </xf>
    <xf numFmtId="2" fontId="24" fillId="369" borderId="0" xfId="0" applyNumberFormat="1" applyFont="1" applyFill="1" applyAlignment="1">
      <alignment horizontal="center" wrapText="1"/>
    </xf>
    <xf numFmtId="2" fontId="24" fillId="500" borderId="0" xfId="0" applyNumberFormat="1" applyFont="1" applyFill="1" applyAlignment="1">
      <alignment horizontal="center" wrapText="1"/>
    </xf>
    <xf numFmtId="2" fontId="24" fillId="133" borderId="10" xfId="0" applyNumberFormat="1" applyFont="1" applyFill="1" applyBorder="1" applyAlignment="1">
      <alignment horizontal="center" wrapText="1"/>
    </xf>
    <xf numFmtId="2" fontId="24" fillId="475" borderId="14" xfId="0" applyNumberFormat="1" applyFont="1" applyFill="1" applyBorder="1" applyAlignment="1">
      <alignment horizontal="center" wrapText="1"/>
    </xf>
    <xf numFmtId="2" fontId="24" fillId="478" borderId="12" xfId="0" applyNumberFormat="1" applyFont="1" applyFill="1" applyBorder="1" applyAlignment="1">
      <alignment horizontal="center" wrapText="1"/>
    </xf>
    <xf numFmtId="2" fontId="24" fillId="200" borderId="14" xfId="0" applyNumberFormat="1" applyFont="1" applyFill="1" applyBorder="1" applyAlignment="1">
      <alignment horizontal="center" wrapText="1"/>
    </xf>
    <xf numFmtId="2" fontId="24" fillId="283" borderId="12" xfId="0" applyNumberFormat="1" applyFont="1" applyFill="1" applyBorder="1" applyAlignment="1">
      <alignment horizontal="center" wrapText="1"/>
    </xf>
    <xf numFmtId="2" fontId="24" fillId="497" borderId="13" xfId="0" applyNumberFormat="1" applyFont="1" applyFill="1" applyBorder="1" applyAlignment="1">
      <alignment horizontal="center" wrapText="1"/>
    </xf>
    <xf numFmtId="2" fontId="24" fillId="496" borderId="0" xfId="0" applyNumberFormat="1" applyFont="1" applyFill="1" applyAlignment="1">
      <alignment horizontal="center" wrapText="1"/>
    </xf>
    <xf numFmtId="2" fontId="24" fillId="298" borderId="14" xfId="0" applyNumberFormat="1" applyFont="1" applyFill="1" applyBorder="1" applyAlignment="1">
      <alignment horizontal="center" wrapText="1"/>
    </xf>
    <xf numFmtId="2" fontId="24" fillId="133" borderId="13" xfId="0" applyNumberFormat="1" applyFont="1" applyFill="1" applyBorder="1" applyAlignment="1">
      <alignment horizontal="center" wrapText="1"/>
    </xf>
    <xf numFmtId="49" fontId="24" fillId="0" borderId="0" xfId="0" applyNumberFormat="1" applyFont="1"/>
    <xf numFmtId="49" fontId="24" fillId="0" borderId="0" xfId="0" applyNumberFormat="1" applyFont="1" applyAlignment="1">
      <alignment horizontal="right"/>
    </xf>
    <xf numFmtId="49" fontId="26" fillId="0" borderId="0" xfId="0" applyNumberFormat="1" applyFont="1" applyAlignment="1">
      <alignment horizontal="right"/>
    </xf>
    <xf numFmtId="49" fontId="24" fillId="37" borderId="11" xfId="0" applyNumberFormat="1" applyFont="1" applyFill="1" applyBorder="1" applyAlignment="1">
      <alignment horizontal="center" wrapText="1"/>
    </xf>
    <xf numFmtId="49" fontId="24" fillId="473" borderId="11" xfId="0" applyNumberFormat="1" applyFont="1" applyFill="1" applyBorder="1" applyAlignment="1">
      <alignment horizontal="center" wrapText="1"/>
    </xf>
    <xf numFmtId="49" fontId="24" fillId="514" borderId="11" xfId="0" applyNumberFormat="1" applyFont="1" applyFill="1" applyBorder="1" applyAlignment="1">
      <alignment horizontal="center" wrapText="1"/>
    </xf>
    <xf numFmtId="49" fontId="24" fillId="542" borderId="11" xfId="0" applyNumberFormat="1" applyFont="1" applyFill="1" applyBorder="1" applyAlignment="1">
      <alignment horizontal="center" wrapText="1"/>
    </xf>
    <xf numFmtId="49" fontId="24" fillId="544" borderId="11" xfId="0" applyNumberFormat="1" applyFont="1" applyFill="1" applyBorder="1" applyAlignment="1">
      <alignment horizontal="center" wrapText="1"/>
    </xf>
    <xf numFmtId="0" fontId="27" fillId="0" borderId="0" xfId="0" applyFont="1"/>
    <xf numFmtId="0" fontId="25" fillId="0" borderId="0" xfId="0" applyFont="1"/>
    <xf numFmtId="0" fontId="16" fillId="0" borderId="11" xfId="0" applyFont="1" applyFill="1" applyBorder="1" applyAlignment="1">
      <alignment horizont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Medium4"/>
  <colors>
    <mruColors>
      <color rgb="FF0000FF"/>
      <color rgb="FF008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20"/>
  <sheetViews>
    <sheetView tabSelected="1" zoomScale="130" zoomScaleNormal="130" workbookViewId="0">
      <pane xSplit="5" ySplit="5" topLeftCell="G6" activePane="bottomRight" state="frozen"/>
      <selection pane="topRight" activeCell="E1" sqref="E1"/>
      <selection pane="bottomLeft" activeCell="A3" sqref="A3"/>
      <selection pane="bottomRight"/>
    </sheetView>
  </sheetViews>
  <sheetFormatPr baseColWidth="10" defaultColWidth="8.83203125" defaultRowHeight="15"/>
  <cols>
    <col min="1" max="1" width="15.1640625" bestFit="1" customWidth="1"/>
    <col min="2" max="2" width="10.83203125" style="6" customWidth="1"/>
    <col min="3" max="3" width="10" style="6" bestFit="1" customWidth="1"/>
    <col min="4" max="4" width="15" bestFit="1" customWidth="1"/>
    <col min="5" max="5" width="50.6640625" customWidth="1"/>
    <col min="6" max="6" width="15.33203125" bestFit="1" customWidth="1"/>
    <col min="7" max="7" width="19.83203125" bestFit="1" customWidth="1"/>
    <col min="8" max="8" width="4.5" style="12" customWidth="1"/>
    <col min="9" max="10" width="4.5" style="8" customWidth="1"/>
    <col min="11" max="11" width="4.5" style="3" customWidth="1"/>
    <col min="12" max="12" width="4.5" style="4" customWidth="1"/>
    <col min="13" max="14" width="4.5" style="8" customWidth="1"/>
    <col min="15" max="15" width="4.5" style="1834" customWidth="1"/>
    <col min="16" max="16" width="4.5" style="8" customWidth="1"/>
    <col min="17" max="17" width="4.5" style="9" bestFit="1" customWidth="1"/>
    <col min="18" max="18" width="4.5" style="8" bestFit="1" customWidth="1"/>
    <col min="19" max="19" width="4" style="8" customWidth="1"/>
    <col min="20" max="20" width="4.5" style="10" bestFit="1" customWidth="1"/>
  </cols>
  <sheetData>
    <row r="1" spans="1:20">
      <c r="A1" t="s">
        <v>4084</v>
      </c>
      <c r="L1" s="8"/>
      <c r="Q1" s="8"/>
    </row>
    <row r="2" spans="1:20">
      <c r="A2" t="s">
        <v>4091</v>
      </c>
      <c r="L2" s="8"/>
      <c r="Q2" s="8"/>
    </row>
    <row r="3" spans="1:20">
      <c r="I3" t="s">
        <v>4089</v>
      </c>
      <c r="J3"/>
      <c r="K3"/>
      <c r="L3" t="s">
        <v>4086</v>
      </c>
      <c r="M3"/>
      <c r="N3"/>
      <c r="O3" t="s">
        <v>4090</v>
      </c>
      <c r="Q3" s="8"/>
      <c r="R3" t="s">
        <v>4087</v>
      </c>
    </row>
    <row r="4" spans="1:20" s="1" customFormat="1" ht="15" customHeight="1">
      <c r="B4" s="5"/>
      <c r="C4" s="5"/>
      <c r="H4" s="11"/>
      <c r="I4" s="2747" t="s">
        <v>12</v>
      </c>
      <c r="J4" s="2747"/>
      <c r="K4" s="2747"/>
      <c r="L4" s="2747"/>
      <c r="M4" s="2747"/>
      <c r="N4" s="2747"/>
      <c r="O4" s="2747"/>
      <c r="P4" s="2747"/>
      <c r="Q4" s="2747"/>
      <c r="R4" s="2747"/>
      <c r="S4" s="2747"/>
      <c r="T4" s="2747"/>
    </row>
    <row r="5" spans="1:20" s="1" customFormat="1" ht="108.75" customHeight="1">
      <c r="A5" s="1" t="s">
        <v>17</v>
      </c>
      <c r="B5" s="2683" t="s">
        <v>18</v>
      </c>
      <c r="C5" s="7" t="s">
        <v>13</v>
      </c>
      <c r="D5" s="2" t="s">
        <v>10</v>
      </c>
      <c r="E5" s="1" t="s">
        <v>11</v>
      </c>
      <c r="F5" s="1" t="s">
        <v>15</v>
      </c>
      <c r="G5" s="1" t="s">
        <v>16</v>
      </c>
      <c r="H5" s="13" t="s">
        <v>14</v>
      </c>
      <c r="I5" s="15" t="s">
        <v>4060</v>
      </c>
      <c r="J5" s="15" t="s">
        <v>4061</v>
      </c>
      <c r="K5" s="15" t="s">
        <v>4062</v>
      </c>
      <c r="L5" s="16" t="s">
        <v>4032</v>
      </c>
      <c r="M5" s="17" t="s">
        <v>4033</v>
      </c>
      <c r="N5" s="17" t="s">
        <v>4034</v>
      </c>
      <c r="O5" s="524" t="s">
        <v>4035</v>
      </c>
      <c r="P5" s="18" t="s">
        <v>4036</v>
      </c>
      <c r="Q5" s="19" t="s">
        <v>4030</v>
      </c>
      <c r="R5" s="20" t="s">
        <v>4031</v>
      </c>
      <c r="S5" s="20" t="s">
        <v>4052</v>
      </c>
      <c r="T5" s="21" t="s">
        <v>4053</v>
      </c>
    </row>
    <row r="6" spans="1:20">
      <c r="A6" t="s">
        <v>19</v>
      </c>
      <c r="B6" s="6" t="str">
        <f>HYPERLINK("http://www.ncbi.nlm.nih.gov/gene/70593", "70593")</f>
        <v>70593</v>
      </c>
      <c r="C6" s="6" t="str">
        <f>HYPERLINK("http://www.ncbi.nlm.nih.gov/gene/", "")</f>
        <v/>
      </c>
      <c r="D6" t="str">
        <f>"5730457N03Rik"</f>
        <v>5730457N03Rik</v>
      </c>
      <c r="E6" t="s">
        <v>20</v>
      </c>
      <c r="F6" s="14" t="s">
        <v>21</v>
      </c>
      <c r="H6" s="515">
        <v>1</v>
      </c>
      <c r="I6" s="23">
        <v>2.50370964156392</v>
      </c>
      <c r="J6" s="24">
        <v>2.53329073460523</v>
      </c>
      <c r="K6" s="25">
        <v>2.6778735147873398</v>
      </c>
      <c r="L6" s="1835">
        <v>2.7098196591110502</v>
      </c>
      <c r="M6" s="1181">
        <v>2.5274551399363201</v>
      </c>
      <c r="N6" s="533">
        <v>2.7405359658616302</v>
      </c>
      <c r="O6" s="525">
        <v>3.8912731782110601</v>
      </c>
      <c r="P6" s="526">
        <v>5.0456570898981896</v>
      </c>
      <c r="Q6" s="1836">
        <v>3.63686010408881</v>
      </c>
      <c r="R6" s="528">
        <v>3.0582800105575298</v>
      </c>
      <c r="S6" s="529">
        <v>2.8831662397187001</v>
      </c>
      <c r="T6" s="530">
        <v>3.08474963894467</v>
      </c>
    </row>
    <row r="7" spans="1:20">
      <c r="A7" t="s">
        <v>22</v>
      </c>
      <c r="B7" s="6" t="str">
        <f>HYPERLINK("http://www.ncbi.nlm.nih.gov/gene/140919", "140919")</f>
        <v>140919</v>
      </c>
      <c r="C7" s="6" t="str">
        <f>HYPERLINK("http://www.ncbi.nlm.nih.gov/gene/57084", "57084")</f>
        <v>57084</v>
      </c>
      <c r="D7" t="str">
        <f>"Slc17a6"</f>
        <v>Slc17a6</v>
      </c>
      <c r="E7" t="s">
        <v>23</v>
      </c>
      <c r="F7" t="s">
        <v>0</v>
      </c>
      <c r="H7" s="515">
        <v>1</v>
      </c>
      <c r="I7" s="34">
        <v>2.7307148998830399</v>
      </c>
      <c r="J7" s="35">
        <v>2.81680246381883</v>
      </c>
      <c r="K7" s="36">
        <v>2.8665338218404002</v>
      </c>
      <c r="L7" s="1837">
        <v>2.7535392694263998</v>
      </c>
      <c r="M7" s="658">
        <v>3.0547410674513298</v>
      </c>
      <c r="N7" s="729">
        <v>2.61652331199137</v>
      </c>
      <c r="O7" s="531">
        <v>4.0267889483276402</v>
      </c>
      <c r="P7" s="526">
        <v>4.2320096733040504</v>
      </c>
      <c r="Q7" s="1836">
        <v>3.4726164965325901</v>
      </c>
      <c r="R7" s="532">
        <v>2.83059450047491</v>
      </c>
      <c r="S7" s="533">
        <v>2.8428845466492101</v>
      </c>
      <c r="T7" s="534">
        <v>2.97433881780626</v>
      </c>
    </row>
    <row r="8" spans="1:20">
      <c r="A8" t="s">
        <v>1</v>
      </c>
      <c r="B8" s="6" t="str">
        <f>HYPERLINK("http://www.ncbi.nlm.nih.gov/gene/76650", "76650")</f>
        <v>76650</v>
      </c>
      <c r="C8" s="6" t="str">
        <f>HYPERLINK("http://www.ncbi.nlm.nih.gov/gene/140809", "140809")</f>
        <v>140809</v>
      </c>
      <c r="D8" t="str">
        <f>"Srxn1"</f>
        <v>Srxn1</v>
      </c>
      <c r="E8" t="s">
        <v>2</v>
      </c>
      <c r="F8" t="s">
        <v>3</v>
      </c>
      <c r="H8" s="515">
        <v>1</v>
      </c>
      <c r="I8" s="43">
        <v>4.39750891020193</v>
      </c>
      <c r="J8" s="37">
        <v>4.4243409893714603</v>
      </c>
      <c r="K8" s="44">
        <v>4.55974517614837</v>
      </c>
      <c r="L8" s="1838">
        <v>4.6192452541393196</v>
      </c>
      <c r="M8" s="537">
        <v>4.4166827304554399</v>
      </c>
      <c r="N8" s="892">
        <v>4.5545037343090797</v>
      </c>
      <c r="O8" s="535">
        <v>5.5673980167493298</v>
      </c>
      <c r="P8" s="526">
        <v>5.7423269297425001</v>
      </c>
      <c r="Q8" s="1839">
        <v>5.1171179143968599</v>
      </c>
      <c r="R8" s="537">
        <v>4.4156916763207397</v>
      </c>
      <c r="S8" s="538">
        <v>4.4582966364732597</v>
      </c>
      <c r="T8" s="539">
        <v>4.5568997806837803</v>
      </c>
    </row>
    <row r="9" spans="1:20">
      <c r="A9" t="s">
        <v>4</v>
      </c>
      <c r="B9" s="6" t="str">
        <f>HYPERLINK("http://www.ncbi.nlm.nih.gov/gene/22113", "22113")</f>
        <v>22113</v>
      </c>
      <c r="C9" s="6" t="str">
        <f>HYPERLINK("http://www.ncbi.nlm.nih.gov/gene/7262", "7262")</f>
        <v>7262</v>
      </c>
      <c r="D9" t="str">
        <f>"Phlda2"</f>
        <v>Phlda2</v>
      </c>
      <c r="E9" t="s">
        <v>5</v>
      </c>
      <c r="F9" t="s">
        <v>6</v>
      </c>
      <c r="H9" s="515">
        <v>1</v>
      </c>
      <c r="I9" s="51">
        <v>2.3679657308777502</v>
      </c>
      <c r="J9" s="52">
        <v>2.7954064781244798</v>
      </c>
      <c r="K9" s="53">
        <v>2.55469215051698</v>
      </c>
      <c r="L9" s="1840">
        <v>2.8498213944438602</v>
      </c>
      <c r="M9" s="1343">
        <v>2.55116404542159</v>
      </c>
      <c r="N9" s="583">
        <v>2.5796331963819599</v>
      </c>
      <c r="O9" s="540">
        <v>4.8131323366008196</v>
      </c>
      <c r="P9" s="541">
        <v>4.7616161168145803</v>
      </c>
      <c r="Q9" s="1841">
        <v>4.0215883830558399</v>
      </c>
      <c r="R9" s="543">
        <v>2.7247334691034499</v>
      </c>
      <c r="S9" s="544">
        <v>2.4725277005790298</v>
      </c>
      <c r="T9" s="545">
        <v>2.4581800254416502</v>
      </c>
    </row>
    <row r="10" spans="1:20">
      <c r="A10" t="s">
        <v>28</v>
      </c>
      <c r="B10" s="6" t="str">
        <f>HYPERLINK("http://www.ncbi.nlm.nih.gov/gene/110648", "110648")</f>
        <v>110648</v>
      </c>
      <c r="C10" s="6" t="str">
        <f>HYPERLINK("http://www.ncbi.nlm.nih.gov/gene/4009", "4009")</f>
        <v>4009</v>
      </c>
      <c r="D10" t="str">
        <f>"Lmx1a"</f>
        <v>Lmx1a</v>
      </c>
      <c r="E10" t="s">
        <v>29</v>
      </c>
      <c r="F10" t="s">
        <v>30</v>
      </c>
      <c r="H10" s="515">
        <v>1</v>
      </c>
      <c r="I10" s="60">
        <v>2.7104314250436201</v>
      </c>
      <c r="J10" s="61">
        <v>2.8570399836485598</v>
      </c>
      <c r="K10" s="62">
        <v>2.8987585190787302</v>
      </c>
      <c r="L10" s="1842">
        <v>3.34778918796134</v>
      </c>
      <c r="M10" s="859">
        <v>2.6598761450935</v>
      </c>
      <c r="N10" s="722">
        <v>2.4332486291889599</v>
      </c>
      <c r="O10" s="546">
        <v>4.6895096818708799</v>
      </c>
      <c r="P10" s="547">
        <v>4.6312233359882002</v>
      </c>
      <c r="Q10" s="1843">
        <v>4.0984698200150698</v>
      </c>
      <c r="R10" s="549">
        <v>2.9224100344877399</v>
      </c>
      <c r="S10" s="550">
        <v>3.11259341226256</v>
      </c>
      <c r="T10" s="551">
        <v>3.0756232734102702</v>
      </c>
    </row>
    <row r="11" spans="1:20">
      <c r="A11" t="s">
        <v>7</v>
      </c>
      <c r="B11" s="6" t="str">
        <f>HYPERLINK("http://www.ncbi.nlm.nih.gov/gene/79235", "79235")</f>
        <v>79235</v>
      </c>
      <c r="C11" s="6" t="str">
        <f>HYPERLINK("http://www.ncbi.nlm.nih.gov/gene/9227", "9227")</f>
        <v>9227</v>
      </c>
      <c r="D11" t="str">
        <f>"Lrat"</f>
        <v>Lrat</v>
      </c>
      <c r="E11" t="s">
        <v>8</v>
      </c>
      <c r="F11" t="s">
        <v>9</v>
      </c>
      <c r="G11" t="s">
        <v>34</v>
      </c>
      <c r="H11" s="515">
        <v>1</v>
      </c>
      <c r="I11" s="71">
        <v>3.0317575489837298</v>
      </c>
      <c r="J11" s="72">
        <v>2.8676154881987701</v>
      </c>
      <c r="K11" s="73">
        <v>2.7498813941094</v>
      </c>
      <c r="L11" s="1844">
        <v>2.88648973972693</v>
      </c>
      <c r="M11" s="992">
        <v>2.63042377012497</v>
      </c>
      <c r="N11" s="1122">
        <v>3.1657210913148801</v>
      </c>
      <c r="O11" s="552">
        <v>3.9128093435794402</v>
      </c>
      <c r="P11" s="526">
        <v>4.3963919858576803</v>
      </c>
      <c r="Q11" s="1845">
        <v>3.8407804497998201</v>
      </c>
      <c r="R11" s="554">
        <v>2.81431485345643</v>
      </c>
      <c r="S11" s="555">
        <v>2.6070990851000602</v>
      </c>
      <c r="T11" s="556">
        <v>2.7004601756570898</v>
      </c>
    </row>
    <row r="12" spans="1:20">
      <c r="A12" t="s">
        <v>35</v>
      </c>
      <c r="B12" s="6" t="str">
        <f>HYPERLINK("http://www.ncbi.nlm.nih.gov/gene/67020", "67020")</f>
        <v>67020</v>
      </c>
      <c r="C12" s="6" t="str">
        <f>HYPERLINK("http://www.ncbi.nlm.nih.gov/gene/92162", "92162")</f>
        <v>92162</v>
      </c>
      <c r="D12" t="str">
        <f>"Tmem88"</f>
        <v>Tmem88</v>
      </c>
      <c r="E12" t="s">
        <v>36</v>
      </c>
      <c r="F12" t="s">
        <v>37</v>
      </c>
      <c r="H12" s="515">
        <v>1</v>
      </c>
      <c r="I12" s="82">
        <v>6.4077745616415198</v>
      </c>
      <c r="J12" s="44">
        <v>6.2123006042184796</v>
      </c>
      <c r="K12" s="69">
        <v>6.2998103245605703</v>
      </c>
      <c r="L12" s="1846">
        <v>6.0343525059794496</v>
      </c>
      <c r="M12" s="592">
        <v>6.13955427116076</v>
      </c>
      <c r="N12" s="1306">
        <v>5.8251287125511304</v>
      </c>
      <c r="O12" s="557">
        <v>7.5917563308492904</v>
      </c>
      <c r="P12" s="558">
        <v>7.1799362048462401</v>
      </c>
      <c r="Q12" s="1847">
        <v>7.1136390354799603</v>
      </c>
      <c r="R12" s="560">
        <v>6.1921507364743498</v>
      </c>
      <c r="S12" s="561">
        <v>6.0027728278368402</v>
      </c>
      <c r="T12" s="562">
        <v>6.0316855009614603</v>
      </c>
    </row>
    <row r="13" spans="1:20">
      <c r="A13" t="s">
        <v>38</v>
      </c>
      <c r="B13" s="6" t="str">
        <f>HYPERLINK("http://www.ncbi.nlm.nih.gov/gene/12904", "12904")</f>
        <v>12904</v>
      </c>
      <c r="C13" s="6" t="str">
        <f>HYPERLINK("http://www.ncbi.nlm.nih.gov/gene/1382", "1382")</f>
        <v>1382</v>
      </c>
      <c r="D13" t="str">
        <f>"Crabp2"</f>
        <v>Crabp2</v>
      </c>
      <c r="E13" t="s">
        <v>39</v>
      </c>
      <c r="F13" t="s">
        <v>40</v>
      </c>
      <c r="H13" s="515">
        <v>1</v>
      </c>
      <c r="I13" s="353">
        <v>6.7482482433867697</v>
      </c>
      <c r="J13" s="353">
        <v>6.78194731322405</v>
      </c>
      <c r="K13" s="353">
        <v>6.7649900014756303</v>
      </c>
      <c r="L13" s="2658">
        <v>6.6582370651206197</v>
      </c>
      <c r="M13" s="1343">
        <v>6.83693895770078</v>
      </c>
      <c r="N13" s="1442">
        <v>6.51381847507741</v>
      </c>
      <c r="O13" s="1792">
        <v>8.7801040155300303</v>
      </c>
      <c r="P13" s="2481">
        <v>8.9393594623108896</v>
      </c>
      <c r="Q13" s="2657">
        <v>8.8365370503600396</v>
      </c>
      <c r="R13" s="1442">
        <v>6.3811666614763203</v>
      </c>
      <c r="S13" s="1442">
        <v>6.2679290687216698</v>
      </c>
      <c r="T13" s="1809">
        <v>6.4939370439821902</v>
      </c>
    </row>
    <row r="14" spans="1:20">
      <c r="A14" t="s">
        <v>41</v>
      </c>
      <c r="B14" s="6" t="str">
        <f>HYPERLINK("http://www.ncbi.nlm.nih.gov/gene/70008", "70008")</f>
        <v>70008</v>
      </c>
      <c r="C14" s="6" t="str">
        <f>HYPERLINK("http://www.ncbi.nlm.nih.gov/gene/59272", "59272")</f>
        <v>59272</v>
      </c>
      <c r="D14" t="str">
        <f>"Ace2"</f>
        <v>Ace2</v>
      </c>
      <c r="E14" t="s">
        <v>42</v>
      </c>
      <c r="F14" t="s">
        <v>24</v>
      </c>
      <c r="G14" t="s">
        <v>25</v>
      </c>
      <c r="H14" s="515">
        <v>1</v>
      </c>
      <c r="I14" s="96">
        <v>2.9627997595679001</v>
      </c>
      <c r="J14" s="69">
        <v>3.1237600160161398</v>
      </c>
      <c r="K14" s="97">
        <v>3.2254349576985302</v>
      </c>
      <c r="L14" s="1850">
        <v>2.8325941694185102</v>
      </c>
      <c r="M14" s="699">
        <v>3.02389625850136</v>
      </c>
      <c r="N14" s="1591">
        <v>2.4245895813631502</v>
      </c>
      <c r="O14" s="569">
        <v>4.6826909521742799</v>
      </c>
      <c r="P14" s="570">
        <v>4.4191001687478604</v>
      </c>
      <c r="Q14" s="1851">
        <v>4.3327435015029803</v>
      </c>
      <c r="R14" s="572">
        <v>2.8115777447809802</v>
      </c>
      <c r="S14" s="573">
        <v>2.7663809756171598</v>
      </c>
      <c r="T14" s="574">
        <v>2.8130160953478902</v>
      </c>
    </row>
    <row r="15" spans="1:20">
      <c r="A15" t="s">
        <v>26</v>
      </c>
      <c r="B15" s="6" t="str">
        <f>HYPERLINK("http://www.ncbi.nlm.nih.gov/gene/18104", "18104")</f>
        <v>18104</v>
      </c>
      <c r="C15" s="6" t="str">
        <f>HYPERLINK("http://www.ncbi.nlm.nih.gov/gene/1728", "1728")</f>
        <v>1728</v>
      </c>
      <c r="D15" t="str">
        <f>"Nqo1"</f>
        <v>Nqo1</v>
      </c>
      <c r="E15" t="s">
        <v>27</v>
      </c>
      <c r="F15" t="s">
        <v>31</v>
      </c>
      <c r="H15" s="515">
        <v>1</v>
      </c>
      <c r="I15" s="90">
        <v>5.5086646167483098</v>
      </c>
      <c r="J15" s="104">
        <v>5.4756479874510404</v>
      </c>
      <c r="K15" s="38">
        <v>5.6952859354750904</v>
      </c>
      <c r="L15" s="1852">
        <v>5.3377958145828801</v>
      </c>
      <c r="M15" s="532">
        <v>5.3422096101104097</v>
      </c>
      <c r="N15" s="1550">
        <v>4.8423502167392902</v>
      </c>
      <c r="O15" s="575">
        <v>7.1419979450686997</v>
      </c>
      <c r="P15" s="576">
        <v>7.1293138388206403</v>
      </c>
      <c r="Q15" s="1853">
        <v>7.1158425630056099</v>
      </c>
      <c r="R15" s="578">
        <v>4.9607971171163996</v>
      </c>
      <c r="S15" s="579">
        <v>5.3465282209609502</v>
      </c>
      <c r="T15" s="580">
        <v>5.4298906260394597</v>
      </c>
    </row>
    <row r="16" spans="1:20">
      <c r="A16" t="s">
        <v>32</v>
      </c>
      <c r="B16" s="6" t="str">
        <f>HYPERLINK("http://www.ncbi.nlm.nih.gov/gene/15227", "15227")</f>
        <v>15227</v>
      </c>
      <c r="C16" s="6" t="str">
        <f>HYPERLINK("http://www.ncbi.nlm.nih.gov/gene/2294", "2294")</f>
        <v>2294</v>
      </c>
      <c r="D16" t="str">
        <f>"Foxf1"</f>
        <v>Foxf1</v>
      </c>
      <c r="E16" t="s">
        <v>33</v>
      </c>
      <c r="F16" t="s">
        <v>43</v>
      </c>
      <c r="H16" s="515">
        <v>1</v>
      </c>
      <c r="I16" s="28">
        <v>5.3826625820267404</v>
      </c>
      <c r="J16" s="28">
        <v>5.3833914046775799</v>
      </c>
      <c r="K16" s="28">
        <v>5.3841573643367298</v>
      </c>
      <c r="L16" s="1854">
        <v>5.4265574457412002</v>
      </c>
      <c r="M16" s="566">
        <v>5.0370533354353402</v>
      </c>
      <c r="N16" s="1343">
        <v>5.2726195597143697</v>
      </c>
      <c r="O16" s="581">
        <v>8.2158490392841692</v>
      </c>
      <c r="P16" s="565">
        <v>8.0830566101458494</v>
      </c>
      <c r="Q16" s="1855">
        <v>8.0995189612396903</v>
      </c>
      <c r="R16" s="549">
        <v>5.4040882314964698</v>
      </c>
      <c r="S16" s="583">
        <v>5.3023441991546196</v>
      </c>
      <c r="T16" s="584">
        <v>5.1809155637954598</v>
      </c>
    </row>
    <row r="17" spans="1:20">
      <c r="A17" t="s">
        <v>57</v>
      </c>
      <c r="B17" s="6" t="str">
        <f>HYPERLINK("http://www.ncbi.nlm.nih.gov/gene/57266", "57266")</f>
        <v>57266</v>
      </c>
      <c r="C17" s="6" t="str">
        <f>HYPERLINK("http://www.ncbi.nlm.nih.gov/gene/9547", "9547")</f>
        <v>9547</v>
      </c>
      <c r="D17" t="str">
        <f>"Cxcl14"</f>
        <v>Cxcl14</v>
      </c>
      <c r="E17" t="s">
        <v>58</v>
      </c>
      <c r="F17" t="s">
        <v>59</v>
      </c>
      <c r="G17" t="s">
        <v>60</v>
      </c>
      <c r="H17" s="515">
        <v>1</v>
      </c>
      <c r="I17" s="57">
        <v>5.2744858754963602</v>
      </c>
      <c r="J17" s="57">
        <v>5.2798019362536701</v>
      </c>
      <c r="K17" s="98">
        <v>5.0299549515970803</v>
      </c>
      <c r="L17" s="1856">
        <v>4.8547755842399196</v>
      </c>
      <c r="M17" s="1223">
        <v>4.9246916539766703</v>
      </c>
      <c r="N17" s="712">
        <v>5.0658811429075303</v>
      </c>
      <c r="O17" s="585">
        <v>7.80822107909934</v>
      </c>
      <c r="P17" s="586">
        <v>7.55428020753806</v>
      </c>
      <c r="Q17" s="1857">
        <v>7.7029291628610297</v>
      </c>
      <c r="R17" s="533">
        <v>5.1581779123088403</v>
      </c>
      <c r="S17" s="572">
        <v>4.9883824819594604</v>
      </c>
      <c r="T17" s="588">
        <v>5.1859466306124</v>
      </c>
    </row>
    <row r="18" spans="1:20">
      <c r="A18" t="s">
        <v>61</v>
      </c>
      <c r="B18" s="6" t="str">
        <f>HYPERLINK("http://www.ncbi.nlm.nih.gov/gene/238271", "238271")</f>
        <v>238271</v>
      </c>
      <c r="C18" s="6" t="str">
        <f>HYPERLINK("http://www.ncbi.nlm.nih.gov/gene/27133", "27133")</f>
        <v>27133</v>
      </c>
      <c r="D18" t="str">
        <f>"Kcnh5"</f>
        <v>Kcnh5</v>
      </c>
      <c r="E18" t="s">
        <v>62</v>
      </c>
      <c r="F18" t="s">
        <v>44</v>
      </c>
      <c r="H18" s="515">
        <v>1</v>
      </c>
      <c r="I18" s="69">
        <v>2.9165001607111498</v>
      </c>
      <c r="J18" s="99">
        <v>2.7671696879378498</v>
      </c>
      <c r="K18" s="98">
        <v>2.4809037680925599</v>
      </c>
      <c r="L18" s="1858">
        <v>2.31477505958987</v>
      </c>
      <c r="M18" s="641">
        <v>2.2915457132994699</v>
      </c>
      <c r="N18" s="1343">
        <v>2.4946528781520598</v>
      </c>
      <c r="O18" s="589">
        <v>5.0942619851422704</v>
      </c>
      <c r="P18" s="590">
        <v>4.7886821136590898</v>
      </c>
      <c r="Q18" s="1859">
        <v>5.36608379667598</v>
      </c>
      <c r="R18" s="592">
        <v>2.5957360758605401</v>
      </c>
      <c r="S18" s="532">
        <v>2.5733126347629902</v>
      </c>
      <c r="T18" s="584">
        <v>2.42310473531708</v>
      </c>
    </row>
    <row r="19" spans="1:20">
      <c r="A19" t="s">
        <v>45</v>
      </c>
      <c r="B19" s="6" t="str">
        <f>HYPERLINK("http://www.ncbi.nlm.nih.gov/gene/15433", "15433")</f>
        <v>15433</v>
      </c>
      <c r="C19" s="6" t="str">
        <f>HYPERLINK("http://www.ncbi.nlm.nih.gov/gene/3239", "3239")</f>
        <v>3239</v>
      </c>
      <c r="D19" t="str">
        <f>"Hoxd13"</f>
        <v>Hoxd13</v>
      </c>
      <c r="E19" t="s">
        <v>46</v>
      </c>
      <c r="F19" t="s">
        <v>47</v>
      </c>
      <c r="H19" s="515">
        <v>1</v>
      </c>
      <c r="I19" s="120">
        <v>5.7418948649244701</v>
      </c>
      <c r="J19" s="96">
        <v>5.8214526370306601</v>
      </c>
      <c r="K19" s="121">
        <v>6.1685520787494399</v>
      </c>
      <c r="L19" s="1860">
        <v>4.8556678803249298</v>
      </c>
      <c r="M19" s="688">
        <v>5.3608180381944601</v>
      </c>
      <c r="N19" s="864">
        <v>5.2671726323544501</v>
      </c>
      <c r="O19" s="593">
        <v>8.9644869280923292</v>
      </c>
      <c r="P19" s="582">
        <v>9.0207897921391993</v>
      </c>
      <c r="Q19" s="1855">
        <v>9.0243374507577307</v>
      </c>
      <c r="R19" s="594">
        <v>5.73544158807508</v>
      </c>
      <c r="S19" s="595">
        <v>5.8383453757662496</v>
      </c>
      <c r="T19" s="596">
        <v>6.0741427777928099</v>
      </c>
    </row>
    <row r="20" spans="1:20">
      <c r="A20" t="s">
        <v>48</v>
      </c>
      <c r="B20" s="6" t="str">
        <f>HYPERLINK("http://www.ncbi.nlm.nih.gov/gene/20614", "20614")</f>
        <v>20614</v>
      </c>
      <c r="C20" s="6" t="str">
        <f>HYPERLINK("http://www.ncbi.nlm.nih.gov/gene/6616", "6616")</f>
        <v>6616</v>
      </c>
      <c r="D20" t="str">
        <f>"Snap25"</f>
        <v>Snap25</v>
      </c>
      <c r="E20" t="s">
        <v>49</v>
      </c>
      <c r="F20" t="s">
        <v>50</v>
      </c>
      <c r="G20" t="s">
        <v>51</v>
      </c>
      <c r="H20" s="515">
        <v>1</v>
      </c>
      <c r="I20" s="32">
        <v>4.5068999983509803</v>
      </c>
      <c r="J20" s="98">
        <v>4.1840664438208703</v>
      </c>
      <c r="K20" s="126">
        <v>4.4353321954528404</v>
      </c>
      <c r="L20" s="1861">
        <v>3.8463130920680002</v>
      </c>
      <c r="M20" s="549">
        <v>4.3131936585659298</v>
      </c>
      <c r="N20" s="1109">
        <v>3.9364004461919802</v>
      </c>
      <c r="O20" s="575">
        <v>6.6338919190968699</v>
      </c>
      <c r="P20" s="597">
        <v>6.7478139926699603</v>
      </c>
      <c r="Q20" s="1862">
        <v>6.5818587436493097</v>
      </c>
      <c r="R20" s="599">
        <v>4.3383122593927999</v>
      </c>
      <c r="S20" s="600">
        <v>4.4028984077871103</v>
      </c>
      <c r="T20" s="601">
        <v>4.1561121123979596</v>
      </c>
    </row>
    <row r="21" spans="1:20">
      <c r="A21" t="s">
        <v>52</v>
      </c>
      <c r="B21" s="6" t="str">
        <f>HYPERLINK("http://www.ncbi.nlm.nih.gov/gene/21387", "21387")</f>
        <v>21387</v>
      </c>
      <c r="C21" s="6" t="str">
        <f>HYPERLINK("http://www.ncbi.nlm.nih.gov/gene/9496", "9496")</f>
        <v>9496</v>
      </c>
      <c r="D21" t="str">
        <f>"Tbx4"</f>
        <v>Tbx4</v>
      </c>
      <c r="E21" t="s">
        <v>53</v>
      </c>
      <c r="F21" t="s">
        <v>54</v>
      </c>
      <c r="H21" s="515">
        <v>1</v>
      </c>
      <c r="I21" s="104">
        <v>4.9392227774404001</v>
      </c>
      <c r="J21" s="44">
        <v>4.9111160590479104</v>
      </c>
      <c r="K21" s="61">
        <v>4.6065509509048104</v>
      </c>
      <c r="L21" s="1863">
        <v>4.0714133047545999</v>
      </c>
      <c r="M21" s="1002">
        <v>4.4399906382324001</v>
      </c>
      <c r="N21" s="1109">
        <v>4.2034047814767304</v>
      </c>
      <c r="O21" s="575">
        <v>8.1250494137764004</v>
      </c>
      <c r="P21" s="602">
        <v>8.1779327336798602</v>
      </c>
      <c r="Q21" s="1864">
        <v>8.1456191949258994</v>
      </c>
      <c r="R21" s="604">
        <v>4.8211841346199602</v>
      </c>
      <c r="S21" s="600">
        <v>4.8650912567962603</v>
      </c>
      <c r="T21" s="605">
        <v>4.8212426048704096</v>
      </c>
    </row>
    <row r="22" spans="1:20">
      <c r="A22" t="s">
        <v>55</v>
      </c>
      <c r="B22" s="6" t="str">
        <f>HYPERLINK("http://www.ncbi.nlm.nih.gov/gene/21809", "21809")</f>
        <v>21809</v>
      </c>
      <c r="C22" s="6" t="str">
        <f>HYPERLINK("http://www.ncbi.nlm.nih.gov/gene/7043", "7043")</f>
        <v>7043</v>
      </c>
      <c r="D22" t="str">
        <f>"Tgfb3"</f>
        <v>Tgfb3</v>
      </c>
      <c r="E22" t="s">
        <v>56</v>
      </c>
      <c r="F22" t="s">
        <v>63</v>
      </c>
      <c r="G22" t="s">
        <v>71</v>
      </c>
      <c r="H22" s="515">
        <v>1</v>
      </c>
      <c r="I22" s="133">
        <v>7.3560418881674403</v>
      </c>
      <c r="J22" s="79">
        <v>7.1125034075709603</v>
      </c>
      <c r="K22" s="134">
        <v>7.3488265220639004</v>
      </c>
      <c r="L22" s="1865">
        <v>7.0317187352132002</v>
      </c>
      <c r="M22" s="1289">
        <v>6.8772319548053398</v>
      </c>
      <c r="N22" s="997">
        <v>6.9358411164968503</v>
      </c>
      <c r="O22" s="606">
        <v>8.3014142101178301</v>
      </c>
      <c r="P22" s="607">
        <v>8.3038307726027902</v>
      </c>
      <c r="Q22" s="1866">
        <v>8.3863077627661298</v>
      </c>
      <c r="R22" s="609">
        <v>7.1748010460608196</v>
      </c>
      <c r="S22" s="610">
        <v>7.1194507678053798</v>
      </c>
      <c r="T22" s="611">
        <v>7.1237156518766902</v>
      </c>
    </row>
    <row r="23" spans="1:20">
      <c r="A23" t="s">
        <v>72</v>
      </c>
      <c r="B23" s="6" t="str">
        <f>HYPERLINK("http://www.ncbi.nlm.nih.gov/gene/11556", "11556")</f>
        <v>11556</v>
      </c>
      <c r="C23" s="6" t="str">
        <f>HYPERLINK("http://www.ncbi.nlm.nih.gov/gene/155", "155")</f>
        <v>155</v>
      </c>
      <c r="D23" t="str">
        <f>"Adrb3"</f>
        <v>Adrb3</v>
      </c>
      <c r="E23" t="s">
        <v>73</v>
      </c>
      <c r="F23" t="s">
        <v>64</v>
      </c>
      <c r="G23" t="s">
        <v>65</v>
      </c>
      <c r="H23" s="515">
        <v>1</v>
      </c>
      <c r="I23" s="140">
        <v>3.9575385028786099</v>
      </c>
      <c r="J23" s="141">
        <v>3.41211810034264</v>
      </c>
      <c r="K23" s="70">
        <v>3.66098988492084</v>
      </c>
      <c r="L23" s="1867">
        <v>3.2652748457663501</v>
      </c>
      <c r="M23" s="992">
        <v>3.2732331344108299</v>
      </c>
      <c r="N23" s="1188">
        <v>3.2075158037284002</v>
      </c>
      <c r="O23" s="612">
        <v>4.9314198286419799</v>
      </c>
      <c r="P23" s="613">
        <v>5.2203158082549104</v>
      </c>
      <c r="Q23" s="1868">
        <v>4.6625230734493703</v>
      </c>
      <c r="R23" s="599">
        <v>3.5441325358076101</v>
      </c>
      <c r="S23" s="579">
        <v>3.5035452936218099</v>
      </c>
      <c r="T23" s="615">
        <v>3.6292991316806802</v>
      </c>
    </row>
    <row r="24" spans="1:20">
      <c r="A24" t="s">
        <v>66</v>
      </c>
      <c r="B24" s="6" t="str">
        <f>HYPERLINK("http://www.ncbi.nlm.nih.gov/gene/56429", "56429")</f>
        <v>56429</v>
      </c>
      <c r="C24" s="6" t="str">
        <f>HYPERLINK("http://www.ncbi.nlm.nih.gov/gene/1805", "1805")</f>
        <v>1805</v>
      </c>
      <c r="D24" t="str">
        <f>"Dpt"</f>
        <v>Dpt</v>
      </c>
      <c r="E24" t="s">
        <v>80</v>
      </c>
      <c r="F24" t="s">
        <v>81</v>
      </c>
      <c r="H24" s="515">
        <v>1</v>
      </c>
      <c r="I24" s="147">
        <v>3.2676053631163402</v>
      </c>
      <c r="J24" s="148">
        <v>3.0842398048779902</v>
      </c>
      <c r="K24" s="149">
        <v>3.08177437010976</v>
      </c>
      <c r="L24" s="1869">
        <v>2.74012635100246</v>
      </c>
      <c r="M24" s="1134">
        <v>2.4839475366765198</v>
      </c>
      <c r="N24" s="543">
        <v>3.0222465273291599</v>
      </c>
      <c r="O24" s="616">
        <v>4.5184084756584904</v>
      </c>
      <c r="P24" s="617">
        <v>4.3756792271473497</v>
      </c>
      <c r="Q24" s="1870">
        <v>3.9745974538818301</v>
      </c>
      <c r="R24" s="619">
        <v>2.8104762969358501</v>
      </c>
      <c r="S24" s="549">
        <v>2.96123266475252</v>
      </c>
      <c r="T24" s="588">
        <v>2.9678359327781898</v>
      </c>
    </row>
    <row r="25" spans="1:20">
      <c r="A25" t="s">
        <v>82</v>
      </c>
      <c r="B25" s="6" t="str">
        <f>HYPERLINK("http://www.ncbi.nlm.nih.gov/gene/15432", "15432")</f>
        <v>15432</v>
      </c>
      <c r="C25" s="6" t="str">
        <f>HYPERLINK("http://www.ncbi.nlm.nih.gov/gene/3238", "3238")</f>
        <v>3238</v>
      </c>
      <c r="D25" t="str">
        <f>"Hoxd12"</f>
        <v>Hoxd12</v>
      </c>
      <c r="E25" t="s">
        <v>83</v>
      </c>
      <c r="F25" t="s">
        <v>84</v>
      </c>
      <c r="H25" s="515">
        <v>1</v>
      </c>
      <c r="I25" s="72">
        <v>3.3054034682411202</v>
      </c>
      <c r="J25" s="133">
        <v>3.6743843333755399</v>
      </c>
      <c r="K25" s="155">
        <v>3.5959611139379599</v>
      </c>
      <c r="L25" s="1871">
        <v>3.1810928565075698</v>
      </c>
      <c r="M25" s="715">
        <v>3.1137832796902298</v>
      </c>
      <c r="N25" s="1364">
        <v>2.6239885771964202</v>
      </c>
      <c r="O25" s="620">
        <v>4.8665773523964004</v>
      </c>
      <c r="P25" s="591">
        <v>5.8660892964436204</v>
      </c>
      <c r="Q25" s="1872">
        <v>5.8901089809250298</v>
      </c>
      <c r="R25" s="622">
        <v>3.1349787628643799</v>
      </c>
      <c r="S25" s="560">
        <v>3.3575099329979099</v>
      </c>
      <c r="T25" s="623">
        <v>3.06098580347803</v>
      </c>
    </row>
    <row r="26" spans="1:20">
      <c r="A26" t="s">
        <v>85</v>
      </c>
      <c r="B26" s="6" t="str">
        <f>HYPERLINK("http://www.ncbi.nlm.nih.gov/gene/320492", "320492")</f>
        <v>320492</v>
      </c>
      <c r="C26" s="6" t="str">
        <f>HYPERLINK("http://www.ncbi.nlm.nih.gov/gene/116328", "116328")</f>
        <v>116328</v>
      </c>
      <c r="D26" t="str">
        <f>"A830018L16Rik"</f>
        <v>A830018L16Rik</v>
      </c>
      <c r="E26" t="s">
        <v>86</v>
      </c>
      <c r="F26" t="s">
        <v>87</v>
      </c>
      <c r="H26" s="515">
        <v>1</v>
      </c>
      <c r="I26" s="61">
        <v>2.45034443714288</v>
      </c>
      <c r="J26" s="69">
        <v>2.68847326789286</v>
      </c>
      <c r="K26" s="88">
        <v>2.3186095007189702</v>
      </c>
      <c r="L26" s="1873">
        <v>2.1798876031170802</v>
      </c>
      <c r="M26" s="1109">
        <v>2.2705638505908499</v>
      </c>
      <c r="N26" s="864">
        <v>2.29029130721214</v>
      </c>
      <c r="O26" s="624">
        <v>3.81553947556593</v>
      </c>
      <c r="P26" s="590">
        <v>3.8323531504077302</v>
      </c>
      <c r="Q26" s="1874">
        <v>4.2402686718225002</v>
      </c>
      <c r="R26" s="549">
        <v>2.5119153851095102</v>
      </c>
      <c r="S26" s="626">
        <v>2.9756590042384499</v>
      </c>
      <c r="T26" s="615">
        <v>2.6170250328009401</v>
      </c>
    </row>
    <row r="27" spans="1:20">
      <c r="A27" t="s">
        <v>88</v>
      </c>
      <c r="B27" s="6" t="str">
        <f>HYPERLINK("http://www.ncbi.nlm.nih.gov/gene/232748", "232748")</f>
        <v>232748</v>
      </c>
      <c r="C27" s="6" t="str">
        <f>HYPERLINK("http://www.ncbi.nlm.nih.gov/gene/285966", "285966")</f>
        <v>285966</v>
      </c>
      <c r="D27" t="str">
        <f>"Fam115c"</f>
        <v>Fam115c</v>
      </c>
      <c r="E27" t="s">
        <v>89</v>
      </c>
      <c r="F27" t="s">
        <v>90</v>
      </c>
      <c r="H27" s="515">
        <v>1</v>
      </c>
      <c r="I27" s="98">
        <v>4.4000841884341799</v>
      </c>
      <c r="J27" s="163">
        <v>4.8075800607119596</v>
      </c>
      <c r="K27" s="98">
        <v>4.4028586173045001</v>
      </c>
      <c r="L27" s="1875">
        <v>4.1182539763172903</v>
      </c>
      <c r="M27" s="549">
        <v>4.4710420315384303</v>
      </c>
      <c r="N27" s="555">
        <v>4.2474408545559896</v>
      </c>
      <c r="O27" s="585">
        <v>5.6299862892700299</v>
      </c>
      <c r="P27" s="598">
        <v>5.5324956175393201</v>
      </c>
      <c r="Q27" s="1851">
        <v>5.4440865181845801</v>
      </c>
      <c r="R27" s="627">
        <v>4.5255677159873198</v>
      </c>
      <c r="S27" s="610">
        <v>4.4359125395217696</v>
      </c>
      <c r="T27" s="596">
        <v>4.5730210391112003</v>
      </c>
    </row>
    <row r="28" spans="1:20">
      <c r="A28" t="s">
        <v>91</v>
      </c>
      <c r="B28" s="6" t="str">
        <f>HYPERLINK("http://www.ncbi.nlm.nih.gov/gene/14829", "14829")</f>
        <v>14829</v>
      </c>
      <c r="C28" s="6" t="str">
        <f>HYPERLINK("http://www.ncbi.nlm.nih.gov/gene/2925", "2925")</f>
        <v>2925</v>
      </c>
      <c r="D28" t="str">
        <f>"Grpr"</f>
        <v>Grpr</v>
      </c>
      <c r="E28" t="s">
        <v>67</v>
      </c>
      <c r="F28" t="s">
        <v>68</v>
      </c>
      <c r="G28" t="s">
        <v>69</v>
      </c>
      <c r="H28" s="515">
        <v>1</v>
      </c>
      <c r="I28" s="165">
        <v>2.4836584407011801</v>
      </c>
      <c r="J28" s="81">
        <v>2.5542238731452298</v>
      </c>
      <c r="K28" s="79">
        <v>2.70315028913156</v>
      </c>
      <c r="L28" s="1876">
        <v>2.8850619096090302</v>
      </c>
      <c r="M28" s="663">
        <v>2.6292077188529799</v>
      </c>
      <c r="N28" s="1343">
        <v>2.67589446849271</v>
      </c>
      <c r="O28" s="628">
        <v>4.2687003676978801</v>
      </c>
      <c r="P28" s="614">
        <v>4.0441909316369404</v>
      </c>
      <c r="Q28" s="1877">
        <v>4.8271736843378203</v>
      </c>
      <c r="R28" s="629">
        <v>2.9008220634997399</v>
      </c>
      <c r="S28" s="610">
        <v>2.70898069670343</v>
      </c>
      <c r="T28" s="615">
        <v>2.8747963630893998</v>
      </c>
    </row>
    <row r="29" spans="1:20">
      <c r="A29" t="s">
        <v>70</v>
      </c>
      <c r="B29" s="6" t="str">
        <f>HYPERLINK("http://www.ncbi.nlm.nih.gov/gene/20465", "20465")</f>
        <v>20465</v>
      </c>
      <c r="C29" s="6" t="str">
        <f>HYPERLINK("http://www.ncbi.nlm.nih.gov/gene/6493", "6493")</f>
        <v>6493</v>
      </c>
      <c r="D29" t="str">
        <f>"Sim2"</f>
        <v>Sim2</v>
      </c>
      <c r="E29" t="s">
        <v>98</v>
      </c>
      <c r="F29" t="s">
        <v>99</v>
      </c>
      <c r="H29" s="515">
        <v>1</v>
      </c>
      <c r="I29" s="135">
        <v>2.9313953513646198</v>
      </c>
      <c r="J29" s="23">
        <v>3.04906459214485</v>
      </c>
      <c r="K29" s="99">
        <v>3.3566408261174501</v>
      </c>
      <c r="L29" s="1878">
        <v>3.3118390324241598</v>
      </c>
      <c r="M29" s="592">
        <v>3.25280752813305</v>
      </c>
      <c r="N29" s="544">
        <v>3.13365213347122</v>
      </c>
      <c r="O29" s="630">
        <v>4.6980950559874497</v>
      </c>
      <c r="P29" s="631">
        <v>4.4759216814645804</v>
      </c>
      <c r="Q29" s="1879">
        <v>4.78028677226472</v>
      </c>
      <c r="R29" s="532">
        <v>3.2421483016042201</v>
      </c>
      <c r="S29" s="549">
        <v>3.2689921846291301</v>
      </c>
      <c r="T29" s="633">
        <v>3.4746097660923501</v>
      </c>
    </row>
    <row r="30" spans="1:20">
      <c r="A30" t="s">
        <v>100</v>
      </c>
      <c r="B30" s="6" t="str">
        <f>HYPERLINK("http://www.ncbi.nlm.nih.gov/gene/70574", "70574")</f>
        <v>70574</v>
      </c>
      <c r="C30" s="6" t="str">
        <f>HYPERLINK("http://www.ncbi.nlm.nih.gov/gene/1368", "1368")</f>
        <v>1368</v>
      </c>
      <c r="D30" t="str">
        <f>"Cpm"</f>
        <v>Cpm</v>
      </c>
      <c r="E30" t="s">
        <v>101</v>
      </c>
      <c r="F30" t="s">
        <v>74</v>
      </c>
      <c r="H30" s="515">
        <v>1</v>
      </c>
      <c r="I30" s="135">
        <v>5.30822644526397</v>
      </c>
      <c r="J30" s="60">
        <v>5.4274614800133101</v>
      </c>
      <c r="K30" s="58">
        <v>5.4722002806616796</v>
      </c>
      <c r="L30" s="1880">
        <v>5.6377078027754699</v>
      </c>
      <c r="M30" s="1291">
        <v>5.6577851768463701</v>
      </c>
      <c r="N30" s="835">
        <v>5.8338008117485201</v>
      </c>
      <c r="O30" s="581">
        <v>6.7492315601769404</v>
      </c>
      <c r="P30" s="634">
        <v>6.3962083733141197</v>
      </c>
      <c r="Q30" s="1881">
        <v>6.8813088162900202</v>
      </c>
      <c r="R30" s="636">
        <v>5.5485583030839702</v>
      </c>
      <c r="S30" s="594">
        <v>5.5727339516385603</v>
      </c>
      <c r="T30" s="601">
        <v>5.5017343972131103</v>
      </c>
    </row>
    <row r="31" spans="1:20">
      <c r="A31" t="s">
        <v>75</v>
      </c>
      <c r="B31" s="6" t="str">
        <f>HYPERLINK("http://www.ncbi.nlm.nih.gov/gene/268709", "268709")</f>
        <v>268709</v>
      </c>
      <c r="C31" s="6" t="str">
        <f>HYPERLINK("http://www.ncbi.nlm.nih.gov/gene/11170", "11170")</f>
        <v>11170</v>
      </c>
      <c r="D31" t="str">
        <f>"Fam107a"</f>
        <v>Fam107a</v>
      </c>
      <c r="E31" t="s">
        <v>76</v>
      </c>
      <c r="F31" t="s">
        <v>77</v>
      </c>
      <c r="H31" s="515">
        <v>1</v>
      </c>
      <c r="I31" s="160">
        <v>3.72856540794854</v>
      </c>
      <c r="J31" s="156">
        <v>3.7196474394003101</v>
      </c>
      <c r="K31" s="80">
        <v>3.5632706234473099</v>
      </c>
      <c r="L31" s="1882">
        <v>3.79896053357262</v>
      </c>
      <c r="M31" s="650">
        <v>4.0287730918991498</v>
      </c>
      <c r="N31" s="659">
        <v>3.7769203701009499</v>
      </c>
      <c r="O31" s="637">
        <v>4.7724474932626304</v>
      </c>
      <c r="P31" s="598">
        <v>4.9485019926498799</v>
      </c>
      <c r="Q31" s="1883">
        <v>5.1718155883085002</v>
      </c>
      <c r="R31" s="609">
        <v>3.8250864970425198</v>
      </c>
      <c r="S31" s="567">
        <v>3.5766004976655301</v>
      </c>
      <c r="T31" s="596">
        <v>3.91644596851827</v>
      </c>
    </row>
    <row r="32" spans="1:20">
      <c r="A32" t="s">
        <v>78</v>
      </c>
      <c r="B32" s="6" t="str">
        <f>HYPERLINK("http://www.ncbi.nlm.nih.gov/gene/18387", "18387")</f>
        <v>18387</v>
      </c>
      <c r="C32" s="6" t="str">
        <f>HYPERLINK("http://www.ncbi.nlm.nih.gov/gene/4986", "4986")</f>
        <v>4986</v>
      </c>
      <c r="D32" t="str">
        <f>"Oprk1"</f>
        <v>Oprk1</v>
      </c>
      <c r="E32" t="s">
        <v>79</v>
      </c>
      <c r="F32" t="s">
        <v>105</v>
      </c>
      <c r="G32" t="s">
        <v>106</v>
      </c>
      <c r="H32" s="515">
        <v>1</v>
      </c>
      <c r="I32" s="128">
        <v>3.3440756263826601</v>
      </c>
      <c r="J32" s="41">
        <v>3.2440510279996202</v>
      </c>
      <c r="K32" s="175">
        <v>2.7112004406874202</v>
      </c>
      <c r="L32" s="1848">
        <v>3.2628309938998501</v>
      </c>
      <c r="M32" s="849">
        <v>3.5533533975985101</v>
      </c>
      <c r="N32" s="550">
        <v>3.4829824662609199</v>
      </c>
      <c r="O32" s="638">
        <v>5.0327956863640297</v>
      </c>
      <c r="P32" s="639">
        <v>4.7090468676192296</v>
      </c>
      <c r="Q32" s="1884">
        <v>5.0994166050648504</v>
      </c>
      <c r="R32" s="641">
        <v>3.0488673234667298</v>
      </c>
      <c r="S32" s="544">
        <v>3.11811629327552</v>
      </c>
      <c r="T32" s="642">
        <v>3.3361082232120198</v>
      </c>
    </row>
    <row r="33" spans="1:20">
      <c r="A33" t="s">
        <v>107</v>
      </c>
      <c r="B33" s="6" t="str">
        <f>HYPERLINK("http://www.ncbi.nlm.nih.gov/gene/13508", "13508")</f>
        <v>13508</v>
      </c>
      <c r="C33" s="6" t="str">
        <f>HYPERLINK("http://www.ncbi.nlm.nih.gov/gene/1826", "1826")</f>
        <v>1826</v>
      </c>
      <c r="D33" t="str">
        <f>"Dscam"</f>
        <v>Dscam</v>
      </c>
      <c r="E33" t="s">
        <v>108</v>
      </c>
      <c r="F33" t="s">
        <v>92</v>
      </c>
      <c r="H33" s="515">
        <v>1</v>
      </c>
      <c r="I33" s="62">
        <v>2.8525504078136099</v>
      </c>
      <c r="J33" s="25">
        <v>2.8069030715236001</v>
      </c>
      <c r="K33" s="180">
        <v>2.4823275552347499</v>
      </c>
      <c r="L33" s="1885">
        <v>2.5446277919719198</v>
      </c>
      <c r="M33" s="599">
        <v>2.8888684875616399</v>
      </c>
      <c r="N33" s="708">
        <v>2.80216115482926</v>
      </c>
      <c r="O33" s="643">
        <v>3.9992616357715902</v>
      </c>
      <c r="P33" s="644">
        <v>4.1817216071803198</v>
      </c>
      <c r="Q33" s="1877">
        <v>4.5765849808235597</v>
      </c>
      <c r="R33" s="645">
        <v>3.2828389521669599</v>
      </c>
      <c r="S33" s="572">
        <v>2.7669605628251301</v>
      </c>
      <c r="T33" s="646">
        <v>3.1815743579276901</v>
      </c>
    </row>
    <row r="34" spans="1:20">
      <c r="A34" t="s">
        <v>93</v>
      </c>
      <c r="B34" s="6" t="str">
        <f>HYPERLINK("http://www.ncbi.nlm.nih.gov/gene/56710", "56710")</f>
        <v>56710</v>
      </c>
      <c r="C34" s="6" t="str">
        <f>HYPERLINK("http://www.ncbi.nlm.nih.gov/gene/1620", "1620")</f>
        <v>1620</v>
      </c>
      <c r="D34" t="str">
        <f>"Dbc1"</f>
        <v>Dbc1</v>
      </c>
      <c r="E34" t="s">
        <v>94</v>
      </c>
      <c r="F34" t="s">
        <v>95</v>
      </c>
      <c r="H34" s="515">
        <v>1</v>
      </c>
      <c r="I34" s="51">
        <v>6.4627251025764698</v>
      </c>
      <c r="J34" s="135">
        <v>6.2541020477552403</v>
      </c>
      <c r="K34" s="28">
        <v>6.7908556874598096</v>
      </c>
      <c r="L34" s="1867">
        <v>6.3931011643724496</v>
      </c>
      <c r="M34" s="1002">
        <v>6.5987067654336604</v>
      </c>
      <c r="N34" s="554">
        <v>6.7271868758435698</v>
      </c>
      <c r="O34" s="647">
        <v>9.2338842750378394</v>
      </c>
      <c r="P34" s="648">
        <v>8.9881904863969808</v>
      </c>
      <c r="Q34" s="1886">
        <v>9.2583637962277194</v>
      </c>
      <c r="R34" s="649">
        <v>7.1839961655906501</v>
      </c>
      <c r="S34" s="650">
        <v>7.2655794549139001</v>
      </c>
      <c r="T34" s="596">
        <v>7.04095702736634</v>
      </c>
    </row>
    <row r="35" spans="1:20">
      <c r="A35" t="s">
        <v>96</v>
      </c>
      <c r="B35" s="6" t="str">
        <f>HYPERLINK("http://www.ncbi.nlm.nih.gov/gene/50779", "50779")</f>
        <v>50779</v>
      </c>
      <c r="C35" s="6" t="str">
        <f>HYPERLINK("http://www.ncbi.nlm.nih.gov/gene/9628", "9628")</f>
        <v>9628</v>
      </c>
      <c r="D35" t="str">
        <f>"Rgs6"</f>
        <v>Rgs6</v>
      </c>
      <c r="E35" t="s">
        <v>97</v>
      </c>
      <c r="F35" t="s">
        <v>112</v>
      </c>
      <c r="H35" s="515">
        <v>1</v>
      </c>
      <c r="I35" s="58">
        <v>3.5676245516654701</v>
      </c>
      <c r="J35" s="34">
        <v>3.5303489055719202</v>
      </c>
      <c r="K35" s="74">
        <v>3.9240393678831902</v>
      </c>
      <c r="L35" s="1887">
        <v>3.4542348618258001</v>
      </c>
      <c r="M35" s="663">
        <v>3.6121343734115401</v>
      </c>
      <c r="N35" s="1081">
        <v>3.60924039934075</v>
      </c>
      <c r="O35" s="651">
        <v>6.6462331063271503</v>
      </c>
      <c r="P35" s="652">
        <v>6.8810736094476104</v>
      </c>
      <c r="Q35" s="1888">
        <v>6.9587224483867098</v>
      </c>
      <c r="R35" s="654">
        <v>4.1490943044339401</v>
      </c>
      <c r="S35" s="655">
        <v>4.0167812337367597</v>
      </c>
      <c r="T35" s="588">
        <v>3.86312818204126</v>
      </c>
    </row>
    <row r="36" spans="1:20">
      <c r="A36" t="s">
        <v>113</v>
      </c>
      <c r="B36" s="6" t="str">
        <f>HYPERLINK("http://www.ncbi.nlm.nih.gov/gene/68790", "68790")</f>
        <v>68790</v>
      </c>
      <c r="C36" s="6" t="str">
        <f>HYPERLINK("http://www.ncbi.nlm.nih.gov/gene/", "")</f>
        <v/>
      </c>
      <c r="D36" t="str">
        <f>"1110050K14Rik"</f>
        <v>1110050K14Rik</v>
      </c>
      <c r="E36" t="s">
        <v>114</v>
      </c>
      <c r="F36" t="s">
        <v>90</v>
      </c>
      <c r="H36" s="515">
        <v>1</v>
      </c>
      <c r="I36" s="23">
        <v>3.1471904639026498</v>
      </c>
      <c r="J36" s="127">
        <v>3.1409113335335999</v>
      </c>
      <c r="K36" s="37">
        <v>3.25970558481594</v>
      </c>
      <c r="L36" s="1889">
        <v>3.10633787013492</v>
      </c>
      <c r="M36" s="533">
        <v>3.4020444090209998</v>
      </c>
      <c r="N36" s="528">
        <v>3.7413165003765299</v>
      </c>
      <c r="O36" s="656">
        <v>5.1223584074558399</v>
      </c>
      <c r="P36" s="657">
        <v>4.9403346587199497</v>
      </c>
      <c r="Q36" s="1888">
        <v>5.1833548740923696</v>
      </c>
      <c r="R36" s="658">
        <v>3.7215127000527102</v>
      </c>
      <c r="S36" s="659">
        <v>3.3734668662090899</v>
      </c>
      <c r="T36" s="660">
        <v>3.39448422491169</v>
      </c>
    </row>
    <row r="37" spans="1:20">
      <c r="A37" t="s">
        <v>115</v>
      </c>
      <c r="B37" s="6" t="str">
        <f>HYPERLINK("http://www.ncbi.nlm.nih.gov/gene/100503872", "100503872")</f>
        <v>100503872</v>
      </c>
      <c r="C37" s="6" t="str">
        <f>HYPERLINK("http://www.ncbi.nlm.nih.gov/gene/", "")</f>
        <v/>
      </c>
      <c r="D37" t="str">
        <f>"Hotair"</f>
        <v>Hotair</v>
      </c>
      <c r="E37" t="s">
        <v>116</v>
      </c>
      <c r="F37" t="s">
        <v>90</v>
      </c>
      <c r="H37" s="515">
        <v>1</v>
      </c>
      <c r="I37" s="27">
        <v>2.7179524502439598</v>
      </c>
      <c r="J37" s="79">
        <v>2.9048311815022299</v>
      </c>
      <c r="K37" s="80">
        <v>2.6187215179519598</v>
      </c>
      <c r="L37" s="1876">
        <v>3.1001584578712098</v>
      </c>
      <c r="M37" s="779">
        <v>3.2580503665294001</v>
      </c>
      <c r="N37" s="1037">
        <v>2.7532009102541299</v>
      </c>
      <c r="O37" s="531">
        <v>4.7904306381723902</v>
      </c>
      <c r="P37" s="570">
        <v>4.5875396990195698</v>
      </c>
      <c r="Q37" s="1890">
        <v>4.63974643650121</v>
      </c>
      <c r="R37" s="662">
        <v>2.86171498542652</v>
      </c>
      <c r="S37" s="663">
        <v>2.8277606013844401</v>
      </c>
      <c r="T37" s="664">
        <v>3.1722773239554201</v>
      </c>
    </row>
    <row r="38" spans="1:20">
      <c r="A38" t="s">
        <v>117</v>
      </c>
      <c r="B38" s="6" t="str">
        <f>HYPERLINK("http://www.ncbi.nlm.nih.gov/gene/240726", "240726")</f>
        <v>240726</v>
      </c>
      <c r="C38" s="6" t="str">
        <f>HYPERLINK("http://www.ncbi.nlm.nih.gov/gene/81796", "81796")</f>
        <v>81796</v>
      </c>
      <c r="D38" t="str">
        <f>"Slco5a1"</f>
        <v>Slco5a1</v>
      </c>
      <c r="E38" t="s">
        <v>118</v>
      </c>
      <c r="F38" t="s">
        <v>90</v>
      </c>
      <c r="H38" s="515">
        <v>1</v>
      </c>
      <c r="I38" s="75">
        <v>3.29510327005868</v>
      </c>
      <c r="J38" s="194">
        <v>3.3537310436037502</v>
      </c>
      <c r="K38" s="75">
        <v>3.2954106873334301</v>
      </c>
      <c r="L38" s="1891">
        <v>3.4766171059520898</v>
      </c>
      <c r="M38" s="550">
        <v>3.6818403874929801</v>
      </c>
      <c r="N38" s="1340">
        <v>3.2706041993639099</v>
      </c>
      <c r="O38" s="665">
        <v>4.8112749608887704</v>
      </c>
      <c r="P38" s="565">
        <v>4.8043220988885897</v>
      </c>
      <c r="Q38" s="1892">
        <v>4.7507841382748701</v>
      </c>
      <c r="R38" s="529">
        <v>3.6265795500131301</v>
      </c>
      <c r="S38" s="549">
        <v>3.5258751156195398</v>
      </c>
      <c r="T38" s="667">
        <v>3.87123195549349</v>
      </c>
    </row>
    <row r="39" spans="1:20">
      <c r="A39" t="s">
        <v>4037</v>
      </c>
      <c r="B39" s="6" t="str">
        <f>HYPERLINK("http://www.ncbi.nlm.nih.gov/gene/18740", "18740")</f>
        <v>18740</v>
      </c>
      <c r="C39" s="6" t="str">
        <f>HYPERLINK("http://www.ncbi.nlm.nih.gov/gene/5307", "5307")</f>
        <v>5307</v>
      </c>
      <c r="D39" t="str">
        <f>"Pitx1"</f>
        <v>Pitx1</v>
      </c>
      <c r="E39" t="s">
        <v>120</v>
      </c>
      <c r="F39" t="s">
        <v>102</v>
      </c>
      <c r="H39" s="515">
        <v>1</v>
      </c>
      <c r="I39" s="198">
        <v>3.9860608163149802</v>
      </c>
      <c r="J39" s="37">
        <v>3.3583626754115401</v>
      </c>
      <c r="K39" s="59">
        <v>3.3089935666618802</v>
      </c>
      <c r="L39" s="1846">
        <v>3.3118390324241598</v>
      </c>
      <c r="M39" s="734">
        <v>3.3754935812713902</v>
      </c>
      <c r="N39" s="992">
        <v>3.0033560810162299</v>
      </c>
      <c r="O39" s="668">
        <v>7.8370156627657304</v>
      </c>
      <c r="P39" s="576">
        <v>7.6827647057190402</v>
      </c>
      <c r="Q39" s="1855">
        <v>7.7543752105389201</v>
      </c>
      <c r="R39" s="669">
        <v>3.7743476717034201</v>
      </c>
      <c r="S39" s="670">
        <v>4.0783962151092696</v>
      </c>
      <c r="T39" s="671">
        <v>4.0307738423041597</v>
      </c>
    </row>
    <row r="40" spans="1:20">
      <c r="A40" t="s">
        <v>103</v>
      </c>
      <c r="B40" s="6" t="str">
        <f>HYPERLINK("http://www.ncbi.nlm.nih.gov/gene/75600", "75600")</f>
        <v>75600</v>
      </c>
      <c r="C40" s="6" t="str">
        <f>HYPERLINK("http://www.ncbi.nlm.nih.gov/gene/91860", "91860")</f>
        <v>91860</v>
      </c>
      <c r="D40" t="str">
        <f>"Calml4"</f>
        <v>Calml4</v>
      </c>
      <c r="E40" t="s">
        <v>104</v>
      </c>
      <c r="F40" t="s">
        <v>109</v>
      </c>
      <c r="H40" s="515">
        <v>1</v>
      </c>
      <c r="I40" s="98">
        <v>3.8315187196681801</v>
      </c>
      <c r="J40" s="128">
        <v>4.1089532345363899</v>
      </c>
      <c r="K40" s="98">
        <v>3.8302329232051702</v>
      </c>
      <c r="L40" s="1893">
        <v>3.76519102530956</v>
      </c>
      <c r="M40" s="1367">
        <v>3.6853840039714298</v>
      </c>
      <c r="N40" s="578">
        <v>3.3186637377131998</v>
      </c>
      <c r="O40" s="668">
        <v>7.0233358063219598</v>
      </c>
      <c r="P40" s="587">
        <v>7.0045483311858598</v>
      </c>
      <c r="Q40" s="1894">
        <v>6.8337915512083098</v>
      </c>
      <c r="R40" s="669">
        <v>4.05038739439137</v>
      </c>
      <c r="S40" s="672">
        <v>4.5629854820612099</v>
      </c>
      <c r="T40" s="673">
        <v>4.0478282854336003</v>
      </c>
    </row>
    <row r="41" spans="1:20">
      <c r="A41" t="s">
        <v>110</v>
      </c>
      <c r="B41" s="6" t="str">
        <f>HYPERLINK("http://www.ncbi.nlm.nih.gov/gene/14632", "14632")</f>
        <v>14632</v>
      </c>
      <c r="C41" s="6" t="str">
        <f>HYPERLINK("http://www.ncbi.nlm.nih.gov/gene/2735", "2735")</f>
        <v>2735</v>
      </c>
      <c r="D41" t="str">
        <f>"Gli1"</f>
        <v>Gli1</v>
      </c>
      <c r="E41" t="s">
        <v>111</v>
      </c>
      <c r="F41" t="s">
        <v>121</v>
      </c>
      <c r="G41" t="s">
        <v>135</v>
      </c>
      <c r="H41" s="515">
        <v>1</v>
      </c>
      <c r="I41" s="27">
        <v>3.89812276319805</v>
      </c>
      <c r="J41" s="50">
        <v>4.0600387200376096</v>
      </c>
      <c r="K41" s="199">
        <v>3.84914372662494</v>
      </c>
      <c r="L41" s="1835">
        <v>4.1088832781749902</v>
      </c>
      <c r="M41" s="891">
        <v>4.0318298532470003</v>
      </c>
      <c r="N41" s="859">
        <v>3.8552593727693898</v>
      </c>
      <c r="O41" s="563">
        <v>5.9024870376283802</v>
      </c>
      <c r="P41" s="674">
        <v>6.10406648452014</v>
      </c>
      <c r="Q41" s="1895">
        <v>5.8121516897232697</v>
      </c>
      <c r="R41" s="528">
        <v>4.5048925653156804</v>
      </c>
      <c r="S41" s="676">
        <v>4.2722304995638201</v>
      </c>
      <c r="T41" s="596">
        <v>4.3255309368630703</v>
      </c>
    </row>
    <row r="42" spans="1:20">
      <c r="A42" t="s">
        <v>136</v>
      </c>
      <c r="B42" s="6" t="str">
        <f>HYPERLINK("http://www.ncbi.nlm.nih.gov/gene/54140", "54140")</f>
        <v>54140</v>
      </c>
      <c r="C42" s="6" t="str">
        <f>HYPERLINK("http://www.ncbi.nlm.nih.gov/gene/552", "552")</f>
        <v>552</v>
      </c>
      <c r="D42" t="str">
        <f>"Avpr1a"</f>
        <v>Avpr1a</v>
      </c>
      <c r="E42" t="s">
        <v>137</v>
      </c>
      <c r="F42" t="s">
        <v>122</v>
      </c>
      <c r="G42" t="s">
        <v>123</v>
      </c>
      <c r="H42" s="515">
        <v>1</v>
      </c>
      <c r="I42" s="129">
        <v>3.4264161337434902</v>
      </c>
      <c r="J42" s="73">
        <v>3.3741990027867899</v>
      </c>
      <c r="K42" s="195">
        <v>3.0555904268268699</v>
      </c>
      <c r="L42" s="1896">
        <v>3.7209128258500401</v>
      </c>
      <c r="M42" s="583">
        <v>3.5166763610899201</v>
      </c>
      <c r="N42" s="1346">
        <v>3.2401760603947198</v>
      </c>
      <c r="O42" s="677">
        <v>6.7175419085554999</v>
      </c>
      <c r="P42" s="678">
        <v>6.62803994898377</v>
      </c>
      <c r="Q42" s="1897">
        <v>6.4987668150396596</v>
      </c>
      <c r="R42" s="680">
        <v>3.7715224830283098</v>
      </c>
      <c r="S42" s="629">
        <v>3.8916332979398498</v>
      </c>
      <c r="T42" s="681">
        <v>3.79152186552282</v>
      </c>
    </row>
    <row r="43" spans="1:20">
      <c r="A43" t="s">
        <v>124</v>
      </c>
      <c r="B43" s="6" t="str">
        <f>HYPERLINK("http://www.ncbi.nlm.nih.gov/gene/52389", "52389")</f>
        <v>52389</v>
      </c>
      <c r="C43" s="6" t="str">
        <f>HYPERLINK("http://www.ncbi.nlm.nih.gov/gene/84435", "84435")</f>
        <v>84435</v>
      </c>
      <c r="D43" t="str">
        <f>"Gpr123"</f>
        <v>Gpr123</v>
      </c>
      <c r="E43" t="s">
        <v>125</v>
      </c>
      <c r="F43" t="s">
        <v>148</v>
      </c>
      <c r="H43" s="515">
        <v>1</v>
      </c>
      <c r="I43" s="23">
        <v>4.4173400976504702</v>
      </c>
      <c r="J43" s="38">
        <v>4.7566347698106997</v>
      </c>
      <c r="K43" s="23">
        <v>4.4173400976504702</v>
      </c>
      <c r="L43" s="1898">
        <v>4.6932846342073002</v>
      </c>
      <c r="M43" s="654">
        <v>4.67899366615951</v>
      </c>
      <c r="N43" s="997">
        <v>4.3919407143248899</v>
      </c>
      <c r="O43" s="677">
        <v>5.6231498750849003</v>
      </c>
      <c r="P43" s="682">
        <v>5.6189757802209499</v>
      </c>
      <c r="Q43" s="1899">
        <v>5.4622473079293297</v>
      </c>
      <c r="R43" s="683">
        <v>4.6457975394693696</v>
      </c>
      <c r="S43" s="532">
        <v>4.5571284522094402</v>
      </c>
      <c r="T43" s="684">
        <v>4.3781883855584196</v>
      </c>
    </row>
    <row r="44" spans="1:20">
      <c r="A44" t="s">
        <v>149</v>
      </c>
      <c r="B44" s="6" t="str">
        <f>HYPERLINK("http://www.ncbi.nlm.nih.gov/gene/99377", "99377")</f>
        <v>99377</v>
      </c>
      <c r="C44" s="6" t="str">
        <f>HYPERLINK("http://www.ncbi.nlm.nih.gov/gene/57167", "57167")</f>
        <v>57167</v>
      </c>
      <c r="D44" t="str">
        <f>"Sall4"</f>
        <v>Sall4</v>
      </c>
      <c r="E44" t="s">
        <v>126</v>
      </c>
      <c r="F44" t="s">
        <v>127</v>
      </c>
      <c r="H44" s="515">
        <v>1</v>
      </c>
      <c r="I44" s="95">
        <v>3.48727285829453</v>
      </c>
      <c r="J44" s="205">
        <v>3.9620673560917901</v>
      </c>
      <c r="K44" s="75">
        <v>3.50347624398165</v>
      </c>
      <c r="L44" s="1900">
        <v>3.9490151165509202</v>
      </c>
      <c r="M44" s="738">
        <v>3.7783554389428802</v>
      </c>
      <c r="N44" s="987">
        <v>3.40722789495066</v>
      </c>
      <c r="O44" s="685">
        <v>4.8861897383313702</v>
      </c>
      <c r="P44" s="686">
        <v>4.7456817143786498</v>
      </c>
      <c r="Q44" s="1899">
        <v>4.66766623745632</v>
      </c>
      <c r="R44" s="687">
        <v>3.7848201217983699</v>
      </c>
      <c r="S44" s="688">
        <v>3.5657687199972399</v>
      </c>
      <c r="T44" s="574">
        <v>3.6152405869615301</v>
      </c>
    </row>
    <row r="45" spans="1:20">
      <c r="A45" t="s">
        <v>128</v>
      </c>
      <c r="B45" s="6" t="str">
        <f>HYPERLINK("http://www.ncbi.nlm.nih.gov/gene/111975", "111975")</f>
        <v>111975</v>
      </c>
      <c r="C45" s="6" t="str">
        <f>HYPERLINK("http://www.ncbi.nlm.nih.gov/gene/", "")</f>
        <v/>
      </c>
      <c r="D45" t="str">
        <f>"Igf2as"</f>
        <v>Igf2as</v>
      </c>
      <c r="E45" t="s">
        <v>129</v>
      </c>
      <c r="H45" s="515">
        <v>1</v>
      </c>
      <c r="I45" s="155">
        <v>5.4508047937001098</v>
      </c>
      <c r="J45" s="32">
        <v>5.3768834521685598</v>
      </c>
      <c r="K45" s="209">
        <v>5.5457644345281398</v>
      </c>
      <c r="L45" s="1901">
        <v>4.7733871725984098</v>
      </c>
      <c r="M45" s="1584">
        <v>4.6434862191211002</v>
      </c>
      <c r="N45" s="1323">
        <v>4.7974291150860404</v>
      </c>
      <c r="O45" s="630">
        <v>6.7648001509624498</v>
      </c>
      <c r="P45" s="631">
        <v>6.5251416455500602</v>
      </c>
      <c r="Q45" s="1902">
        <v>6.51398181985632</v>
      </c>
      <c r="R45" s="690">
        <v>5.5800284287151296</v>
      </c>
      <c r="S45" s="690">
        <v>5.5787906866901</v>
      </c>
      <c r="T45" s="691">
        <v>5.4885608381489899</v>
      </c>
    </row>
    <row r="46" spans="1:20">
      <c r="A46" t="s">
        <v>130</v>
      </c>
      <c r="B46" s="6" t="str">
        <f>HYPERLINK("http://www.ncbi.nlm.nih.gov/gene/16985", "16985")</f>
        <v>16985</v>
      </c>
      <c r="C46" s="6" t="str">
        <f>HYPERLINK("http://www.ncbi.nlm.nih.gov/gene/4046", "4046")</f>
        <v>4046</v>
      </c>
      <c r="D46" t="str">
        <f>"Lsp1"</f>
        <v>Lsp1</v>
      </c>
      <c r="E46" t="s">
        <v>131</v>
      </c>
      <c r="F46" t="s">
        <v>132</v>
      </c>
      <c r="H46" s="515">
        <v>1</v>
      </c>
      <c r="I46" s="169">
        <v>6.2438984420258903</v>
      </c>
      <c r="J46" s="69">
        <v>6.1401649206542297</v>
      </c>
      <c r="K46" s="176">
        <v>6.2856100465962799</v>
      </c>
      <c r="L46" s="1903">
        <v>4.3823185553941704</v>
      </c>
      <c r="M46" s="1337">
        <v>4.8063145215030003</v>
      </c>
      <c r="N46" s="1306">
        <v>4.7581739915263599</v>
      </c>
      <c r="O46" s="692">
        <v>9.0549055280042907</v>
      </c>
      <c r="P46" s="693">
        <v>8.9417192796173701</v>
      </c>
      <c r="Q46" s="1894">
        <v>9.0391335653739908</v>
      </c>
      <c r="R46" s="694">
        <v>6.0852019916856497</v>
      </c>
      <c r="S46" s="695">
        <v>6.1173639519916101</v>
      </c>
      <c r="T46" s="633">
        <v>6.2417161571950501</v>
      </c>
    </row>
    <row r="47" spans="1:20">
      <c r="A47" t="s">
        <v>133</v>
      </c>
      <c r="B47" s="6" t="str">
        <f>HYPERLINK("http://www.ncbi.nlm.nih.gov/gene/229905", "229905")</f>
        <v>229905</v>
      </c>
      <c r="C47" s="6" t="str">
        <f>HYPERLINK("http://www.ncbi.nlm.nih.gov/gene/56267", "56267")</f>
        <v>56267</v>
      </c>
      <c r="D47" t="str">
        <f>"Ccbl2"</f>
        <v>Ccbl2</v>
      </c>
      <c r="E47" t="s">
        <v>134</v>
      </c>
      <c r="F47" t="s">
        <v>138</v>
      </c>
      <c r="G47" t="s">
        <v>139</v>
      </c>
      <c r="H47" s="515">
        <v>1</v>
      </c>
      <c r="I47" s="218">
        <v>4.5432749747027197</v>
      </c>
      <c r="J47" s="99">
        <v>4.3663971303550904</v>
      </c>
      <c r="K47" s="219">
        <v>4.6372717041473202</v>
      </c>
      <c r="L47" s="1904">
        <v>3.7217664977999498</v>
      </c>
      <c r="M47" s="662">
        <v>4.2270159115216703</v>
      </c>
      <c r="N47" s="1332">
        <v>4.0365661144853204</v>
      </c>
      <c r="O47" s="696">
        <v>5.4683599236873297</v>
      </c>
      <c r="P47" s="697">
        <v>5.4138282214396396</v>
      </c>
      <c r="Q47" s="1905">
        <v>5.3602445287063798</v>
      </c>
      <c r="R47" s="699">
        <v>4.3659200085354897</v>
      </c>
      <c r="S47" s="700">
        <v>4.4653238278476701</v>
      </c>
      <c r="T47" s="556">
        <v>4.1445034299355399</v>
      </c>
    </row>
    <row r="48" spans="1:20">
      <c r="A48" t="s">
        <v>140</v>
      </c>
      <c r="B48" s="6" t="str">
        <f>HYPERLINK("http://www.ncbi.nlm.nih.gov/gene/15397", "15397")</f>
        <v>15397</v>
      </c>
      <c r="C48" s="6" t="str">
        <f>HYPERLINK("http://www.ncbi.nlm.nih.gov/gene/", "")</f>
        <v/>
      </c>
      <c r="D48" t="str">
        <f>"Hoxa11as"</f>
        <v>Hoxa11as</v>
      </c>
      <c r="E48" t="s">
        <v>141</v>
      </c>
      <c r="H48" s="515">
        <v>1</v>
      </c>
      <c r="I48" s="147">
        <v>4.3827479318518296</v>
      </c>
      <c r="J48" s="192">
        <v>4.2328031547471801</v>
      </c>
      <c r="K48" s="176">
        <v>4.2013042139235699</v>
      </c>
      <c r="L48" s="1906">
        <v>2.8309166237217598</v>
      </c>
      <c r="M48" s="1179">
        <v>3.1996319021435902</v>
      </c>
      <c r="N48" s="1323">
        <v>2.7758497844918399</v>
      </c>
      <c r="O48" s="593">
        <v>6.6856289232073101</v>
      </c>
      <c r="P48" s="682">
        <v>6.8431463713528702</v>
      </c>
      <c r="Q48" s="1907">
        <v>6.3288215986421399</v>
      </c>
      <c r="R48" s="600">
        <v>3.8282537826402598</v>
      </c>
      <c r="S48" s="543">
        <v>3.8426032222902902</v>
      </c>
      <c r="T48" s="701">
        <v>3.6211207070685698</v>
      </c>
    </row>
    <row r="49" spans="1:20">
      <c r="A49" t="s">
        <v>142</v>
      </c>
      <c r="B49" s="6" t="str">
        <f>HYPERLINK("http://www.ncbi.nlm.nih.gov/gene/76263", "76263")</f>
        <v>76263</v>
      </c>
      <c r="C49" s="6" t="str">
        <f>HYPERLINK("http://www.ncbi.nlm.nih.gov/gene/373156", "373156")</f>
        <v>373156</v>
      </c>
      <c r="D49" t="str">
        <f>"Gstk1"</f>
        <v>Gstk1</v>
      </c>
      <c r="E49" t="s">
        <v>143</v>
      </c>
      <c r="F49" t="s">
        <v>144</v>
      </c>
      <c r="G49" t="s">
        <v>145</v>
      </c>
      <c r="H49" s="515">
        <v>1</v>
      </c>
      <c r="I49" s="197">
        <v>5.85776896755364</v>
      </c>
      <c r="J49" s="61">
        <v>5.5229256752219102</v>
      </c>
      <c r="K49" s="197">
        <v>5.8622880722434099</v>
      </c>
      <c r="L49" s="1861">
        <v>5.3513231603614102</v>
      </c>
      <c r="M49" s="1181">
        <v>5.4161110051884602</v>
      </c>
      <c r="N49" s="555">
        <v>5.3492957977332196</v>
      </c>
      <c r="O49" s="702">
        <v>6.6229686309778497</v>
      </c>
      <c r="P49" s="577">
        <v>6.6261687245718504</v>
      </c>
      <c r="Q49" s="1908">
        <v>6.5550657251906204</v>
      </c>
      <c r="R49" s="703">
        <v>5.25818798072613</v>
      </c>
      <c r="S49" s="658">
        <v>5.7657554033820597</v>
      </c>
      <c r="T49" s="588">
        <v>5.5668376420579797</v>
      </c>
    </row>
    <row r="50" spans="1:20">
      <c r="A50" t="s">
        <v>146</v>
      </c>
      <c r="B50" s="6" t="str">
        <f>HYPERLINK("http://www.ncbi.nlm.nih.gov/gene/227325", "227325")</f>
        <v>227325</v>
      </c>
      <c r="C50" s="6" t="str">
        <f>HYPERLINK("http://www.ncbi.nlm.nih.gov/gene/92737", "92737")</f>
        <v>92737</v>
      </c>
      <c r="D50" t="str">
        <f>"Dner"</f>
        <v>Dner</v>
      </c>
      <c r="E50" t="s">
        <v>147</v>
      </c>
      <c r="F50" t="s">
        <v>150</v>
      </c>
      <c r="H50" s="515">
        <v>1</v>
      </c>
      <c r="I50" s="170">
        <v>3.7076152428644402</v>
      </c>
      <c r="J50" s="227">
        <v>3.61595213473012</v>
      </c>
      <c r="K50" s="83">
        <v>3.4505961317543901</v>
      </c>
      <c r="L50" s="1909">
        <v>3.4519690129636</v>
      </c>
      <c r="M50" s="727">
        <v>3.03216758780089</v>
      </c>
      <c r="N50" s="662">
        <v>3.4023293819104099</v>
      </c>
      <c r="O50" s="557">
        <v>4.7429731921764198</v>
      </c>
      <c r="P50" s="704">
        <v>4.1848843786073102</v>
      </c>
      <c r="Q50" s="1910">
        <v>4.5587098315995398</v>
      </c>
      <c r="R50" s="662">
        <v>3.3995463558807999</v>
      </c>
      <c r="S50" s="705">
        <v>3.6145685110685202</v>
      </c>
      <c r="T50" s="545">
        <v>3.3528843824649099</v>
      </c>
    </row>
    <row r="51" spans="1:20">
      <c r="A51" t="s">
        <v>151</v>
      </c>
      <c r="B51" s="6" t="str">
        <f>HYPERLINK("http://www.ncbi.nlm.nih.gov/gene/210297", "210297")</f>
        <v>210297</v>
      </c>
      <c r="C51" s="6" t="str">
        <f>HYPERLINK("http://www.ncbi.nlm.nih.gov/gene/57631", "57631")</f>
        <v>57631</v>
      </c>
      <c r="D51" t="str">
        <f>"Lrch2"</f>
        <v>Lrch2</v>
      </c>
      <c r="E51" t="s">
        <v>152</v>
      </c>
      <c r="F51" t="s">
        <v>90</v>
      </c>
      <c r="H51" s="515">
        <v>1</v>
      </c>
      <c r="I51" s="230">
        <v>8.1726958926222792</v>
      </c>
      <c r="J51" s="231">
        <v>8.0411862277589403</v>
      </c>
      <c r="K51" s="192">
        <v>8.0109415308599807</v>
      </c>
      <c r="L51" s="1911">
        <v>7.4650661442548003</v>
      </c>
      <c r="M51" s="1302">
        <v>7.60338413060986</v>
      </c>
      <c r="N51" s="680">
        <v>7.8832821590983198</v>
      </c>
      <c r="O51" s="706">
        <v>8.7526469139225291</v>
      </c>
      <c r="P51" s="707">
        <v>8.7882698984449092</v>
      </c>
      <c r="Q51" s="1855">
        <v>8.8523935324296392</v>
      </c>
      <c r="R51" s="537">
        <v>7.7360569778369497</v>
      </c>
      <c r="S51" s="708">
        <v>7.7883214045850702</v>
      </c>
      <c r="T51" s="709">
        <v>7.6845367001030001</v>
      </c>
    </row>
    <row r="52" spans="1:20">
      <c r="A52" t="s">
        <v>153</v>
      </c>
      <c r="B52" s="6" t="str">
        <f>HYPERLINK("http://www.ncbi.nlm.nih.gov/gene/22776", "22776")</f>
        <v>22776</v>
      </c>
      <c r="C52" s="6" t="str">
        <f>HYPERLINK("http://www.ncbi.nlm.nih.gov/gene/", "")</f>
        <v/>
      </c>
      <c r="D52" t="str">
        <f>"Zim1"</f>
        <v>Zim1</v>
      </c>
      <c r="E52" t="s">
        <v>154</v>
      </c>
      <c r="F52" t="s">
        <v>155</v>
      </c>
      <c r="H52" s="515">
        <v>1</v>
      </c>
      <c r="I52" s="235">
        <v>4.3579750819185596</v>
      </c>
      <c r="J52" s="99">
        <v>4.03702412181232</v>
      </c>
      <c r="K52" s="147">
        <v>4.2688166901489399</v>
      </c>
      <c r="L52" s="1912">
        <v>3.5417750623325799</v>
      </c>
      <c r="M52" s="1029">
        <v>3.6252981189626401</v>
      </c>
      <c r="N52" s="600">
        <v>3.9986035014446202</v>
      </c>
      <c r="O52" s="710">
        <v>5.5586410483724897</v>
      </c>
      <c r="P52" s="634">
        <v>5.0261181007126599</v>
      </c>
      <c r="Q52" s="1913">
        <v>5.5242930774397996</v>
      </c>
      <c r="R52" s="712">
        <v>3.87521450758857</v>
      </c>
      <c r="S52" s="688">
        <v>3.7642714580429999</v>
      </c>
      <c r="T52" s="556">
        <v>3.7545923426230101</v>
      </c>
    </row>
    <row r="53" spans="1:20">
      <c r="A53" t="s">
        <v>156</v>
      </c>
      <c r="B53" s="6" t="str">
        <f>HYPERLINK("http://www.ncbi.nlm.nih.gov/gene/11468", "11468")</f>
        <v>11468</v>
      </c>
      <c r="C53" s="6" t="str">
        <f>HYPERLINK("http://www.ncbi.nlm.nih.gov/gene/72", "72")</f>
        <v>72</v>
      </c>
      <c r="D53" t="str">
        <f>"Actg2"</f>
        <v>Actg2</v>
      </c>
      <c r="E53" t="s">
        <v>157</v>
      </c>
      <c r="F53" t="s">
        <v>158</v>
      </c>
      <c r="G53" t="s">
        <v>159</v>
      </c>
      <c r="H53" s="515">
        <v>1</v>
      </c>
      <c r="I53" s="54">
        <v>3.5941519751308699</v>
      </c>
      <c r="J53" s="238">
        <v>3.86945393288044</v>
      </c>
      <c r="K53" s="36">
        <v>3.4173772089737402</v>
      </c>
      <c r="L53" s="1914">
        <v>3.0229206072473902</v>
      </c>
      <c r="M53" s="1364">
        <v>2.8277054390130099</v>
      </c>
      <c r="N53" s="669">
        <v>3.41875024241945</v>
      </c>
      <c r="O53" s="713">
        <v>5.3311551004318201</v>
      </c>
      <c r="P53" s="714">
        <v>4.9775843127497801</v>
      </c>
      <c r="Q53" s="1872">
        <v>5.58766442374192</v>
      </c>
      <c r="R53" s="641">
        <v>3.1240146000087101</v>
      </c>
      <c r="S53" s="715">
        <v>3.24860277858869</v>
      </c>
      <c r="T53" s="716">
        <v>3.5522939456500602</v>
      </c>
    </row>
    <row r="54" spans="1:20">
      <c r="A54" t="s">
        <v>160</v>
      </c>
      <c r="B54" s="6" t="str">
        <f>HYPERLINK("http://www.ncbi.nlm.nih.gov/gene/225908", "225908")</f>
        <v>225908</v>
      </c>
      <c r="C54" s="6" t="str">
        <f>HYPERLINK("http://www.ncbi.nlm.nih.gov/gene/745", "745")</f>
        <v>745</v>
      </c>
      <c r="D54" t="str">
        <f>"Gm98"</f>
        <v>Gm98</v>
      </c>
      <c r="E54" t="s">
        <v>161</v>
      </c>
      <c r="F54" t="s">
        <v>162</v>
      </c>
      <c r="H54" s="515">
        <v>1</v>
      </c>
      <c r="I54" s="242">
        <v>5.5296202128896104</v>
      </c>
      <c r="J54" s="169">
        <v>5.4786855077835703</v>
      </c>
      <c r="K54" s="47">
        <v>5.3368423519310602</v>
      </c>
      <c r="L54" s="1915">
        <v>4.6662245009089496</v>
      </c>
      <c r="M54" s="1550">
        <v>4.8676914468664503</v>
      </c>
      <c r="N54" s="592">
        <v>5.2606078083909003</v>
      </c>
      <c r="O54" s="717">
        <v>6.3609945507112302</v>
      </c>
      <c r="P54" s="718">
        <v>6.5274292818561896</v>
      </c>
      <c r="Q54" s="1916">
        <v>6.7776044974337903</v>
      </c>
      <c r="R54" s="720">
        <v>5.6131314159029104</v>
      </c>
      <c r="S54" s="659">
        <v>5.2454980587226201</v>
      </c>
      <c r="T54" s="721">
        <v>5.3283859850388904</v>
      </c>
    </row>
    <row r="55" spans="1:20">
      <c r="A55" t="s">
        <v>163</v>
      </c>
      <c r="B55" s="6" t="str">
        <f>HYPERLINK("http://www.ncbi.nlm.nih.gov/gene/72512", "72512")</f>
        <v>72512</v>
      </c>
      <c r="C55" s="6" t="str">
        <f>HYPERLINK("http://www.ncbi.nlm.nih.gov/gene/340061", "340061")</f>
        <v>340061</v>
      </c>
      <c r="D55" t="str">
        <f>"Tmem173"</f>
        <v>Tmem173</v>
      </c>
      <c r="E55" t="s">
        <v>164</v>
      </c>
      <c r="F55" t="s">
        <v>165</v>
      </c>
      <c r="G55" t="s">
        <v>166</v>
      </c>
      <c r="H55" s="515">
        <v>1</v>
      </c>
      <c r="I55" s="90">
        <v>3.8477935888983201</v>
      </c>
      <c r="J55" s="139">
        <v>3.7650005510904498</v>
      </c>
      <c r="K55" s="246">
        <v>4.4618469903771896</v>
      </c>
      <c r="L55" s="1917">
        <v>4.0411806253223803</v>
      </c>
      <c r="M55" s="729">
        <v>3.4238069645428699</v>
      </c>
      <c r="N55" s="1281">
        <v>3.43410767956198</v>
      </c>
      <c r="O55" s="656">
        <v>5.2319905339493902</v>
      </c>
      <c r="P55" s="558">
        <v>5.0300408619259898</v>
      </c>
      <c r="Q55" s="1918">
        <v>5.0814763747357699</v>
      </c>
      <c r="R55" s="641">
        <v>3.5403274492258601</v>
      </c>
      <c r="S55" s="722">
        <v>3.28525224756544</v>
      </c>
      <c r="T55" s="723">
        <v>3.7033998281234601</v>
      </c>
    </row>
    <row r="56" spans="1:20">
      <c r="A56" t="s">
        <v>167</v>
      </c>
      <c r="B56" s="6" t="str">
        <f>HYPERLINK("http://www.ncbi.nlm.nih.gov/gene/72395", "72395")</f>
        <v>72395</v>
      </c>
      <c r="C56" s="6" t="str">
        <f>HYPERLINK("http://www.ncbi.nlm.nih.gov/gene/", "")</f>
        <v/>
      </c>
      <c r="D56" t="str">
        <f>"2610028E06Rik"</f>
        <v>2610028E06Rik</v>
      </c>
      <c r="E56" t="s">
        <v>168</v>
      </c>
      <c r="H56" s="515">
        <v>1</v>
      </c>
      <c r="I56" s="110">
        <v>3.6486730229098701</v>
      </c>
      <c r="J56" s="64">
        <v>3.3777992592005202</v>
      </c>
      <c r="K56" s="249">
        <v>4.0356558803735396</v>
      </c>
      <c r="L56" s="1919">
        <v>3.9824602787547398</v>
      </c>
      <c r="M56" s="1037">
        <v>3.43518242189054</v>
      </c>
      <c r="N56" s="1439">
        <v>3.26430832890596</v>
      </c>
      <c r="O56" s="724">
        <v>4.8359030858251897</v>
      </c>
      <c r="P56" s="725">
        <v>4.9879360124180598</v>
      </c>
      <c r="Q56" s="1920">
        <v>4.91751683879541</v>
      </c>
      <c r="R56" s="726">
        <v>3.8659677375508998</v>
      </c>
      <c r="S56" s="727">
        <v>3.0597516232705</v>
      </c>
      <c r="T56" s="580">
        <v>3.6455987883150902</v>
      </c>
    </row>
    <row r="57" spans="1:20">
      <c r="A57" t="s">
        <v>169</v>
      </c>
      <c r="B57" s="6" t="str">
        <f>HYPERLINK("http://www.ncbi.nlm.nih.gov/gene/14184", "14184")</f>
        <v>14184</v>
      </c>
      <c r="C57" s="6" t="str">
        <f>HYPERLINK("http://www.ncbi.nlm.nih.gov/gene/2261", "2261")</f>
        <v>2261</v>
      </c>
      <c r="D57" t="str">
        <f>"Fgfr3"</f>
        <v>Fgfr3</v>
      </c>
      <c r="E57" t="s">
        <v>170</v>
      </c>
      <c r="F57" t="s">
        <v>171</v>
      </c>
      <c r="G57" t="s">
        <v>175</v>
      </c>
      <c r="H57" s="515">
        <v>1</v>
      </c>
      <c r="I57" s="251">
        <v>4.5410447873855597</v>
      </c>
      <c r="J57" s="252">
        <v>3.5035283871335001</v>
      </c>
      <c r="K57" s="155">
        <v>4.1152602998846</v>
      </c>
      <c r="L57" s="1921">
        <v>4.1869913322798498</v>
      </c>
      <c r="M57" s="654">
        <v>4.0763576037948503</v>
      </c>
      <c r="N57" s="1321">
        <v>3.5248794431989299</v>
      </c>
      <c r="O57" s="585">
        <v>5.2699909911152698</v>
      </c>
      <c r="P57" s="714">
        <v>4.9615321671736599</v>
      </c>
      <c r="Q57" s="1922">
        <v>5.0045183887680302</v>
      </c>
      <c r="R57" s="700">
        <v>4.1297772460621101</v>
      </c>
      <c r="S57" s="729">
        <v>3.6806172868091398</v>
      </c>
      <c r="T57" s="730">
        <v>3.7733397936881299</v>
      </c>
    </row>
    <row r="58" spans="1:20">
      <c r="A58" t="s">
        <v>176</v>
      </c>
      <c r="B58" s="6" t="str">
        <f>HYPERLINK("http://www.ncbi.nlm.nih.gov/gene/64659", "64659")</f>
        <v>64659</v>
      </c>
      <c r="C58" s="6" t="str">
        <f>HYPERLINK("http://www.ncbi.nlm.nih.gov/gene/63931", "63931")</f>
        <v>63931</v>
      </c>
      <c r="D58" t="str">
        <f>"Mrps14"</f>
        <v>Mrps14</v>
      </c>
      <c r="E58" t="s">
        <v>177</v>
      </c>
      <c r="F58" t="s">
        <v>178</v>
      </c>
      <c r="H58" s="515">
        <v>1</v>
      </c>
      <c r="I58" s="253">
        <v>2.0975844218999899</v>
      </c>
      <c r="J58" s="109">
        <v>2.27932183631208</v>
      </c>
      <c r="K58" s="86">
        <v>4.0486295752451902</v>
      </c>
      <c r="L58" s="1923">
        <v>2.9141492621599201</v>
      </c>
      <c r="M58" s="683">
        <v>2.7887279941962002</v>
      </c>
      <c r="N58" s="532">
        <v>2.63936635946507</v>
      </c>
      <c r="O58" s="731">
        <v>4.2501159462324898</v>
      </c>
      <c r="P58" s="732">
        <v>3.2643854977101201</v>
      </c>
      <c r="Q58" s="1924">
        <v>4.5343951993867302</v>
      </c>
      <c r="R58" s="529">
        <v>2.80824180126403</v>
      </c>
      <c r="S58" s="734">
        <v>2.5255402410729402</v>
      </c>
      <c r="T58" s="735">
        <v>2.4762817540456399</v>
      </c>
    </row>
    <row r="59" spans="1:20">
      <c r="A59" t="s">
        <v>179</v>
      </c>
      <c r="B59" s="6" t="str">
        <f>HYPERLINK("http://www.ncbi.nlm.nih.gov/gene/66128", "66128")</f>
        <v>66128</v>
      </c>
      <c r="C59" s="6" t="str">
        <f>HYPERLINK("http://www.ncbi.nlm.nih.gov/gene/92259", "92259")</f>
        <v>92259</v>
      </c>
      <c r="D59" t="str">
        <f>"Mrps36"</f>
        <v>Mrps36</v>
      </c>
      <c r="E59" t="s">
        <v>180</v>
      </c>
      <c r="F59" t="s">
        <v>181</v>
      </c>
      <c r="H59" s="515">
        <v>1</v>
      </c>
      <c r="I59" s="190">
        <v>2.3500715171245599</v>
      </c>
      <c r="J59" s="58">
        <v>2.0054972385603702</v>
      </c>
      <c r="K59" s="227">
        <v>2.42003627119094</v>
      </c>
      <c r="L59" s="1925">
        <v>1.5589484898056201</v>
      </c>
      <c r="M59" s="659">
        <v>2.1347512203192198</v>
      </c>
      <c r="N59" s="1028">
        <v>2.4264857427825199</v>
      </c>
      <c r="O59" s="736">
        <v>2.4681847604750802</v>
      </c>
      <c r="P59" s="526">
        <v>4.7990862949955302</v>
      </c>
      <c r="Q59" s="1926">
        <v>3.5829600026809998</v>
      </c>
      <c r="R59" s="738">
        <v>2.3083724994320001</v>
      </c>
      <c r="S59" s="739">
        <v>2.7538588839783</v>
      </c>
      <c r="T59" s="740">
        <v>2.1094051337087798</v>
      </c>
    </row>
    <row r="60" spans="1:20">
      <c r="A60" t="s">
        <v>182</v>
      </c>
      <c r="B60" s="6" t="str">
        <f>HYPERLINK("http://www.ncbi.nlm.nih.gov/gene/208994", "208994")</f>
        <v>208994</v>
      </c>
      <c r="C60" s="6" t="str">
        <f>HYPERLINK("http://www.ncbi.nlm.nih.gov/gene/222584", "222584")</f>
        <v>222584</v>
      </c>
      <c r="D60" t="str">
        <f>"Fam83b"</f>
        <v>Fam83b</v>
      </c>
      <c r="E60" t="s">
        <v>183</v>
      </c>
      <c r="F60" t="s">
        <v>90</v>
      </c>
      <c r="H60" s="515">
        <v>1</v>
      </c>
      <c r="I60" s="122">
        <v>1.9554078413935601</v>
      </c>
      <c r="J60" s="260">
        <v>1.7885861263596099</v>
      </c>
      <c r="K60" s="39">
        <v>2.0498891889332702</v>
      </c>
      <c r="L60" s="1927">
        <v>2.5811863648129401</v>
      </c>
      <c r="M60" s="892">
        <v>2.4598445025631999</v>
      </c>
      <c r="N60" s="649">
        <v>2.6382067878952702</v>
      </c>
      <c r="O60" s="741">
        <v>3.5221082478005501</v>
      </c>
      <c r="P60" s="742">
        <v>3.6641496280566601</v>
      </c>
      <c r="Q60" s="1877">
        <v>4.4052002557609304</v>
      </c>
      <c r="R60" s="743">
        <v>2.6565829295030299</v>
      </c>
      <c r="S60" s="672">
        <v>2.6889826007890001</v>
      </c>
      <c r="T60" s="744">
        <v>2.5977122199667799</v>
      </c>
    </row>
    <row r="61" spans="1:20">
      <c r="A61" t="s">
        <v>184</v>
      </c>
      <c r="B61" s="6" t="str">
        <f>HYPERLINK("http://www.ncbi.nlm.nih.gov/gene/24050", "24050")</f>
        <v>24050</v>
      </c>
      <c r="C61" s="6" t="str">
        <f>HYPERLINK("http://www.ncbi.nlm.nih.gov/gene/55964", "55964")</f>
        <v>55964</v>
      </c>
      <c r="D61" t="str">
        <f>"Sept3"</f>
        <v>Sept3</v>
      </c>
      <c r="E61" t="s">
        <v>185</v>
      </c>
      <c r="F61" t="s">
        <v>186</v>
      </c>
      <c r="H61" s="515">
        <v>1</v>
      </c>
      <c r="I61" s="81">
        <v>5.7610526904158696</v>
      </c>
      <c r="J61" s="263">
        <v>5.2234267502239904</v>
      </c>
      <c r="K61" s="142">
        <v>5.63197750413614</v>
      </c>
      <c r="L61" s="1928">
        <v>5.9941870534559598</v>
      </c>
      <c r="M61" s="549">
        <v>5.9352011972636296</v>
      </c>
      <c r="N61" s="1326">
        <v>6.1098748885677097</v>
      </c>
      <c r="O61" s="563">
        <v>7.2516159467735797</v>
      </c>
      <c r="P61" s="675">
        <v>7.1865651359851004</v>
      </c>
      <c r="Q61" s="1929">
        <v>7.1776398978434699</v>
      </c>
      <c r="R61" s="746">
        <v>6.2279170293090296</v>
      </c>
      <c r="S61" s="550">
        <v>6.0919463656760504</v>
      </c>
      <c r="T61" s="747">
        <v>6.2721694147054698</v>
      </c>
    </row>
    <row r="62" spans="1:20">
      <c r="A62" t="s">
        <v>187</v>
      </c>
      <c r="B62" s="6" t="str">
        <f>HYPERLINK("http://www.ncbi.nlm.nih.gov/gene/22223", "22223")</f>
        <v>22223</v>
      </c>
      <c r="C62" s="6" t="str">
        <f>HYPERLINK("http://www.ncbi.nlm.nih.gov/gene/7345", "7345")</f>
        <v>7345</v>
      </c>
      <c r="D62" t="str">
        <f>"Uchl1"</f>
        <v>Uchl1</v>
      </c>
      <c r="E62" t="s">
        <v>188</v>
      </c>
      <c r="F62" t="s">
        <v>192</v>
      </c>
      <c r="G62" t="s">
        <v>193</v>
      </c>
      <c r="H62" s="515">
        <v>1</v>
      </c>
      <c r="I62" s="265">
        <v>5.7605558755037496</v>
      </c>
      <c r="J62" s="65">
        <v>6.0276968738179102</v>
      </c>
      <c r="K62" s="228">
        <v>5.84598545081775</v>
      </c>
      <c r="L62" s="1930">
        <v>7.0079568521504099</v>
      </c>
      <c r="M62" s="1296">
        <v>7.0549689153053796</v>
      </c>
      <c r="N62" s="529">
        <v>6.8205611593560604</v>
      </c>
      <c r="O62" s="748">
        <v>8.6556104060033707</v>
      </c>
      <c r="P62" s="675">
        <v>8.5406840132933493</v>
      </c>
      <c r="Q62" s="1931">
        <v>8.2363421453098997</v>
      </c>
      <c r="R62" s="750">
        <v>7.2579203134437202</v>
      </c>
      <c r="S62" s="751">
        <v>7.1726177983600401</v>
      </c>
      <c r="T62" s="752">
        <v>6.99220662997062</v>
      </c>
    </row>
    <row r="63" spans="1:20">
      <c r="A63" t="s">
        <v>194</v>
      </c>
      <c r="B63" s="6" t="str">
        <f>HYPERLINK("http://www.ncbi.nlm.nih.gov/gene/382207", "382207")</f>
        <v>382207</v>
      </c>
      <c r="C63" s="6" t="str">
        <f>HYPERLINK("http://www.ncbi.nlm.nih.gov/gene/9767", "9767")</f>
        <v>9767</v>
      </c>
      <c r="D63" t="str">
        <f>"Phf16"</f>
        <v>Phf16</v>
      </c>
      <c r="E63" t="s">
        <v>195</v>
      </c>
      <c r="F63" t="s">
        <v>172</v>
      </c>
      <c r="H63" s="515">
        <v>1</v>
      </c>
      <c r="I63" s="228">
        <v>7.0113521405775696</v>
      </c>
      <c r="J63" s="270">
        <v>7.1234475196684501</v>
      </c>
      <c r="K63" s="215">
        <v>7.1886858295992999</v>
      </c>
      <c r="L63" s="1927">
        <v>7.7160340232187696</v>
      </c>
      <c r="M63" s="743">
        <v>7.7798223955511396</v>
      </c>
      <c r="N63" s="830">
        <v>7.8268385607112796</v>
      </c>
      <c r="O63" s="585">
        <v>8.9897029896147203</v>
      </c>
      <c r="P63" s="753">
        <v>8.6897290214698106</v>
      </c>
      <c r="Q63" s="1932">
        <v>8.7818302476353107</v>
      </c>
      <c r="R63" s="550">
        <v>7.7190476439396196</v>
      </c>
      <c r="S63" s="658">
        <v>7.8002151613518604</v>
      </c>
      <c r="T63" s="671">
        <v>7.6568218671252</v>
      </c>
    </row>
    <row r="64" spans="1:20">
      <c r="A64" t="s">
        <v>173</v>
      </c>
      <c r="B64" s="6" t="str">
        <f>HYPERLINK("http://www.ncbi.nlm.nih.gov/gene/14400", "14400")</f>
        <v>14400</v>
      </c>
      <c r="C64" s="6" t="str">
        <f>HYPERLINK("http://www.ncbi.nlm.nih.gov/gene/2560", "2560")</f>
        <v>2560</v>
      </c>
      <c r="D64" t="str">
        <f>"Gabrb1"</f>
        <v>Gabrb1</v>
      </c>
      <c r="E64" t="s">
        <v>174</v>
      </c>
      <c r="F64" t="s">
        <v>196</v>
      </c>
      <c r="G64" t="s">
        <v>106</v>
      </c>
      <c r="H64" s="515">
        <v>1</v>
      </c>
      <c r="I64" s="135">
        <v>2.9590554869068399</v>
      </c>
      <c r="J64" s="215">
        <v>2.8597209659346801</v>
      </c>
      <c r="K64" s="272">
        <v>2.4032178629883401</v>
      </c>
      <c r="L64" s="1933">
        <v>3.2779623029892702</v>
      </c>
      <c r="M64" s="715">
        <v>3.5021679947276798</v>
      </c>
      <c r="N64" s="1324">
        <v>3.3695171869898699</v>
      </c>
      <c r="O64" s="754">
        <v>6.3269967420501096</v>
      </c>
      <c r="P64" s="755">
        <v>6.59415295247394</v>
      </c>
      <c r="Q64" s="1934">
        <v>6.6240405949305696</v>
      </c>
      <c r="R64" s="757">
        <v>5.1707317831129203</v>
      </c>
      <c r="S64" s="758">
        <v>5.2613824933036497</v>
      </c>
      <c r="T64" s="759">
        <v>5.4725529956765602</v>
      </c>
    </row>
    <row r="65" spans="1:20">
      <c r="A65" t="s">
        <v>197</v>
      </c>
      <c r="B65" s="6" t="str">
        <f>HYPERLINK("http://www.ncbi.nlm.nih.gov/gene/230779", "230779")</f>
        <v>230779</v>
      </c>
      <c r="C65" s="6" t="str">
        <f>HYPERLINK("http://www.ncbi.nlm.nih.gov/gene/347735", "347735")</f>
        <v>347735</v>
      </c>
      <c r="D65" t="str">
        <f>"Serinc2"</f>
        <v>Serinc2</v>
      </c>
      <c r="E65" t="s">
        <v>198</v>
      </c>
      <c r="F65" t="s">
        <v>199</v>
      </c>
      <c r="H65" s="515">
        <v>1</v>
      </c>
      <c r="I65" s="181">
        <v>4.8971501379331102</v>
      </c>
      <c r="J65" s="278">
        <v>4.3306956174486704</v>
      </c>
      <c r="K65" s="100">
        <v>4.6754110516294398</v>
      </c>
      <c r="L65" s="1935">
        <v>5.5187132613092498</v>
      </c>
      <c r="M65" s="592">
        <v>5.40164451639221</v>
      </c>
      <c r="N65" s="622">
        <v>5.2763713443786804</v>
      </c>
      <c r="O65" s="760">
        <v>7.5026167164886903</v>
      </c>
      <c r="P65" s="761">
        <v>7.4284756667901304</v>
      </c>
      <c r="Q65" s="1936">
        <v>7.50462415011273</v>
      </c>
      <c r="R65" s="763">
        <v>6.3664337590239999</v>
      </c>
      <c r="S65" s="764">
        <v>6.3268037760224196</v>
      </c>
      <c r="T65" s="765">
        <v>6.28319854428692</v>
      </c>
    </row>
    <row r="66" spans="1:20">
      <c r="A66" t="s">
        <v>200</v>
      </c>
      <c r="B66" s="6" t="str">
        <f>HYPERLINK("http://www.ncbi.nlm.nih.gov/gene/15165", "15165")</f>
        <v>15165</v>
      </c>
      <c r="C66" s="6" t="str">
        <f>HYPERLINK("http://www.ncbi.nlm.nih.gov/gene/348980", "348980")</f>
        <v>348980</v>
      </c>
      <c r="D66" t="str">
        <f>"Hcn1"</f>
        <v>Hcn1</v>
      </c>
      <c r="E66" t="s">
        <v>201</v>
      </c>
      <c r="F66" t="s">
        <v>202</v>
      </c>
      <c r="H66" s="515">
        <v>1</v>
      </c>
      <c r="I66" s="221">
        <v>3.52383649288798</v>
      </c>
      <c r="J66" s="284">
        <v>3.1076774305484398</v>
      </c>
      <c r="K66" s="285">
        <v>2.9350347350027102</v>
      </c>
      <c r="L66" s="1871">
        <v>4.0562157070171203</v>
      </c>
      <c r="M66" s="864">
        <v>3.73195001657297</v>
      </c>
      <c r="N66" s="1095">
        <v>4.7213828431432399</v>
      </c>
      <c r="O66" s="760">
        <v>6.8823140932647799</v>
      </c>
      <c r="P66" s="756">
        <v>6.8376559403751003</v>
      </c>
      <c r="Q66" s="1899">
        <v>6.8637206614024899</v>
      </c>
      <c r="R66" s="720">
        <v>4.9370767035259497</v>
      </c>
      <c r="S66" s="766">
        <v>5.4526381832449502</v>
      </c>
      <c r="T66" s="767">
        <v>5.4227202636780802</v>
      </c>
    </row>
    <row r="67" spans="1:20">
      <c r="A67" t="s">
        <v>203</v>
      </c>
      <c r="B67" s="6" t="str">
        <f>HYPERLINK("http://www.ncbi.nlm.nih.gov/gene/66643", "66643")</f>
        <v>66643</v>
      </c>
      <c r="C67" s="6" t="str">
        <f>HYPERLINK("http://www.ncbi.nlm.nih.gov/gene/167410", "167410")</f>
        <v>167410</v>
      </c>
      <c r="D67" t="str">
        <f>"Lix1"</f>
        <v>Lix1</v>
      </c>
      <c r="E67" t="s">
        <v>204</v>
      </c>
      <c r="F67" t="s">
        <v>90</v>
      </c>
      <c r="H67" s="515">
        <v>1</v>
      </c>
      <c r="I67" s="288">
        <v>4.5721100310037599</v>
      </c>
      <c r="J67" s="289">
        <v>4.3517964602607</v>
      </c>
      <c r="K67" s="51">
        <v>5.3155725319143698</v>
      </c>
      <c r="L67" s="1937">
        <v>5.0251587772236297</v>
      </c>
      <c r="M67" s="662">
        <v>5.6363999711733896</v>
      </c>
      <c r="N67" s="554">
        <v>5.7281812457301502</v>
      </c>
      <c r="O67" s="768">
        <v>8.8689841574071906</v>
      </c>
      <c r="P67" s="769">
        <v>8.8521353830108893</v>
      </c>
      <c r="Q67" s="1938">
        <v>8.9823655441972292</v>
      </c>
      <c r="R67" s="770">
        <v>7.3787749172915396</v>
      </c>
      <c r="S67" s="771">
        <v>7.95296686876401</v>
      </c>
      <c r="T67" s="772">
        <v>7.6966977455974304</v>
      </c>
    </row>
    <row r="68" spans="1:20">
      <c r="A68" t="s">
        <v>205</v>
      </c>
      <c r="B68" s="6" t="str">
        <f>HYPERLINK("http://www.ncbi.nlm.nih.gov/gene/14397", "14397")</f>
        <v>14397</v>
      </c>
      <c r="C68" s="6" t="str">
        <f>HYPERLINK("http://www.ncbi.nlm.nih.gov/gene/2557", "2557")</f>
        <v>2557</v>
      </c>
      <c r="D68" t="str">
        <f>"Gabra4"</f>
        <v>Gabra4</v>
      </c>
      <c r="E68" t="s">
        <v>206</v>
      </c>
      <c r="F68" t="s">
        <v>210</v>
      </c>
      <c r="G68" t="s">
        <v>106</v>
      </c>
      <c r="H68" s="515">
        <v>1</v>
      </c>
      <c r="I68" s="295">
        <v>2.3550798605231802</v>
      </c>
      <c r="J68" s="164">
        <v>2.9769615808298999</v>
      </c>
      <c r="K68" s="157">
        <v>3.1323121248633501</v>
      </c>
      <c r="L68" s="1850">
        <v>4.1468877220893496</v>
      </c>
      <c r="M68" s="1346">
        <v>3.8072973782902202</v>
      </c>
      <c r="N68" s="669">
        <v>4.46491607378334</v>
      </c>
      <c r="O68" s="773">
        <v>7.8959292687093798</v>
      </c>
      <c r="P68" s="774">
        <v>7.8148616827223396</v>
      </c>
      <c r="Q68" s="1845">
        <v>7.95452732628058</v>
      </c>
      <c r="R68" s="775">
        <v>6.56646551434768</v>
      </c>
      <c r="S68" s="527">
        <v>6.8913844812255203</v>
      </c>
      <c r="T68" s="776">
        <v>6.8102436813447396</v>
      </c>
    </row>
    <row r="69" spans="1:20">
      <c r="A69" t="s">
        <v>211</v>
      </c>
      <c r="B69" s="6" t="str">
        <f>HYPERLINK("http://www.ncbi.nlm.nih.gov/gene/18187", "18187")</f>
        <v>18187</v>
      </c>
      <c r="C69" s="6" t="str">
        <f>HYPERLINK("http://www.ncbi.nlm.nih.gov/gene/8828", "8828")</f>
        <v>8828</v>
      </c>
      <c r="D69" t="str">
        <f>"Nrp2"</f>
        <v>Nrp2</v>
      </c>
      <c r="E69" t="s">
        <v>212</v>
      </c>
      <c r="F69" t="s">
        <v>189</v>
      </c>
      <c r="H69" s="515">
        <v>1</v>
      </c>
      <c r="I69" s="74">
        <v>6.8608086044508898</v>
      </c>
      <c r="J69" s="61">
        <v>6.7483436761333699</v>
      </c>
      <c r="K69" s="120">
        <v>6.8102165925180103</v>
      </c>
      <c r="L69" s="1939">
        <v>6.2955827930177701</v>
      </c>
      <c r="M69" s="1289">
        <v>6.4215657056744604</v>
      </c>
      <c r="N69" s="1087">
        <v>6.4891841680790003</v>
      </c>
      <c r="O69" s="731">
        <v>8.3597263487710904</v>
      </c>
      <c r="P69" s="777">
        <v>8.4407979801084192</v>
      </c>
      <c r="Q69" s="1853">
        <v>8.43469443687456</v>
      </c>
      <c r="R69" s="778">
        <v>7.2780772869877799</v>
      </c>
      <c r="S69" s="779">
        <v>7.0983625474224201</v>
      </c>
      <c r="T69" s="780">
        <v>7.0428272659453599</v>
      </c>
    </row>
    <row r="70" spans="1:20">
      <c r="A70" t="s">
        <v>190</v>
      </c>
      <c r="B70" s="6" t="str">
        <f>HYPERLINK("http://www.ncbi.nlm.nih.gov/gene/15398", "15398")</f>
        <v>15398</v>
      </c>
      <c r="C70" s="6" t="str">
        <f>HYPERLINK("http://www.ncbi.nlm.nih.gov/gene/3209", "3209")</f>
        <v>3209</v>
      </c>
      <c r="D70" t="str">
        <f>"Hoxa13"</f>
        <v>Hoxa13</v>
      </c>
      <c r="E70" t="s">
        <v>191</v>
      </c>
      <c r="F70" t="s">
        <v>207</v>
      </c>
      <c r="H70" s="515">
        <v>1</v>
      </c>
      <c r="I70" s="60">
        <v>3.8891570755037002</v>
      </c>
      <c r="J70" s="83">
        <v>4.25404559710719</v>
      </c>
      <c r="K70" s="57">
        <v>4.4039211881555103</v>
      </c>
      <c r="L70" s="1940">
        <v>3.4405394241346499</v>
      </c>
      <c r="M70" s="1073">
        <v>3.56724724434169</v>
      </c>
      <c r="N70" s="1340">
        <v>3.7085495686115899</v>
      </c>
      <c r="O70" s="731">
        <v>7.0460435888276702</v>
      </c>
      <c r="P70" s="586">
        <v>7.1163319346094598</v>
      </c>
      <c r="Q70" s="1941">
        <v>7.2131940571542099</v>
      </c>
      <c r="R70" s="781">
        <v>4.9667988282375104</v>
      </c>
      <c r="S70" s="726">
        <v>4.8356655481639796</v>
      </c>
      <c r="T70" s="782">
        <v>5.0108648225793004</v>
      </c>
    </row>
    <row r="71" spans="1:20">
      <c r="A71" t="s">
        <v>208</v>
      </c>
      <c r="B71" s="6" t="str">
        <f>HYPERLINK("http://www.ncbi.nlm.nih.gov/gene/12447", "12447")</f>
        <v>12447</v>
      </c>
      <c r="C71" s="6" t="str">
        <f>HYPERLINK("http://www.ncbi.nlm.nih.gov/gene/898", "898")</f>
        <v>898</v>
      </c>
      <c r="D71" t="str">
        <f>"Ccne1"</f>
        <v>Ccne1</v>
      </c>
      <c r="E71" t="s">
        <v>209</v>
      </c>
      <c r="F71" t="s">
        <v>213</v>
      </c>
      <c r="G71" t="s">
        <v>214</v>
      </c>
      <c r="H71" s="515">
        <v>1</v>
      </c>
      <c r="I71" s="43">
        <v>6.1210657223617</v>
      </c>
      <c r="J71" s="156">
        <v>6.1845110840793804</v>
      </c>
      <c r="K71" s="120">
        <v>6.2848580797448603</v>
      </c>
      <c r="L71" s="1942">
        <v>6.0077235688892801</v>
      </c>
      <c r="M71" s="1327">
        <v>5.7839670255800604</v>
      </c>
      <c r="N71" s="688">
        <v>6.1152804403052397</v>
      </c>
      <c r="O71" s="783">
        <v>7.79296970475239</v>
      </c>
      <c r="P71" s="679">
        <v>7.6896090886928503</v>
      </c>
      <c r="Q71" s="1934">
        <v>7.5562314455842596</v>
      </c>
      <c r="R71" s="751">
        <v>6.6556598759414802</v>
      </c>
      <c r="S71" s="784">
        <v>6.57958783145778</v>
      </c>
      <c r="T71" s="785">
        <v>6.6245880498770804</v>
      </c>
    </row>
    <row r="72" spans="1:20">
      <c r="A72" t="s">
        <v>215</v>
      </c>
      <c r="B72" s="6" t="str">
        <f>HYPERLINK("http://www.ncbi.nlm.nih.gov/gene/20438", "20438")</f>
        <v>20438</v>
      </c>
      <c r="C72" s="6" t="str">
        <f>HYPERLINK("http://www.ncbi.nlm.nih.gov/gene/", "")</f>
        <v/>
      </c>
      <c r="D72" t="str">
        <f>"Siah1b"</f>
        <v>Siah1b</v>
      </c>
      <c r="E72" t="s">
        <v>216</v>
      </c>
      <c r="F72" t="s">
        <v>217</v>
      </c>
      <c r="G72" t="s">
        <v>218</v>
      </c>
      <c r="H72" s="515">
        <v>1</v>
      </c>
      <c r="I72" s="53">
        <v>5.2128648286455199</v>
      </c>
      <c r="J72" s="109">
        <v>4.9332699112195897</v>
      </c>
      <c r="K72" s="74">
        <v>5.33103367350013</v>
      </c>
      <c r="L72" s="1943">
        <v>4.81895396585029</v>
      </c>
      <c r="M72" s="578">
        <v>4.9338949524173801</v>
      </c>
      <c r="N72" s="1223">
        <v>5.1329215199965903</v>
      </c>
      <c r="O72" s="786">
        <v>6.68810576741493</v>
      </c>
      <c r="P72" s="787">
        <v>6.8658188905864996</v>
      </c>
      <c r="Q72" s="1936">
        <v>6.6469917398070697</v>
      </c>
      <c r="R72" s="528">
        <v>5.5873095029351703</v>
      </c>
      <c r="S72" s="788">
        <v>5.7818992414469799</v>
      </c>
      <c r="T72" s="789">
        <v>5.6986650517145199</v>
      </c>
    </row>
    <row r="73" spans="1:20">
      <c r="A73" t="s">
        <v>219</v>
      </c>
      <c r="B73" s="6" t="str">
        <f>HYPERLINK("http://www.ncbi.nlm.nih.gov/gene/18741", "18741")</f>
        <v>18741</v>
      </c>
      <c r="C73" s="6" t="str">
        <f>HYPERLINK("http://www.ncbi.nlm.nih.gov/gene/5308", "5308")</f>
        <v>5308</v>
      </c>
      <c r="D73" t="str">
        <f>"Pitx2"</f>
        <v>Pitx2</v>
      </c>
      <c r="E73" t="s">
        <v>220</v>
      </c>
      <c r="F73" t="s">
        <v>221</v>
      </c>
      <c r="G73" t="s">
        <v>222</v>
      </c>
      <c r="H73" s="515">
        <v>1</v>
      </c>
      <c r="I73" s="59">
        <v>4.43258239087608</v>
      </c>
      <c r="J73" s="43">
        <v>4.3588228336441999</v>
      </c>
      <c r="K73" s="160">
        <v>4.5691796321945297</v>
      </c>
      <c r="L73" s="1914">
        <v>4.0873390812110699</v>
      </c>
      <c r="M73" s="1037">
        <v>4.3326288091540803</v>
      </c>
      <c r="N73" s="872">
        <v>4.1439203105524003</v>
      </c>
      <c r="O73" s="606">
        <v>8.6412466089162905</v>
      </c>
      <c r="P73" s="576">
        <v>8.7076696580536392</v>
      </c>
      <c r="Q73" s="1849">
        <v>8.7438712643611805</v>
      </c>
      <c r="R73" s="790">
        <v>5.3514993139465803</v>
      </c>
      <c r="S73" s="743">
        <v>5.4790126829524599</v>
      </c>
      <c r="T73" s="791">
        <v>5.71869891413135</v>
      </c>
    </row>
    <row r="74" spans="1:20">
      <c r="A74" t="s">
        <v>223</v>
      </c>
      <c r="B74" s="6" t="str">
        <f>HYPERLINK("http://www.ncbi.nlm.nih.gov/gene/21388", "21388")</f>
        <v>21388</v>
      </c>
      <c r="C74" s="6" t="str">
        <f>HYPERLINK("http://www.ncbi.nlm.nih.gov/gene/6910", "6910")</f>
        <v>6910</v>
      </c>
      <c r="D74" t="str">
        <f>"Tbx5"</f>
        <v>Tbx5</v>
      </c>
      <c r="E74" t="s">
        <v>224</v>
      </c>
      <c r="F74" t="s">
        <v>225</v>
      </c>
      <c r="H74" s="515">
        <v>1</v>
      </c>
      <c r="I74" s="305">
        <v>4.8729503849434499</v>
      </c>
      <c r="J74" s="98">
        <v>4.6102829797488596</v>
      </c>
      <c r="K74" s="61">
        <v>4.6739399555937302</v>
      </c>
      <c r="L74" s="1867">
        <v>4.1746316752233001</v>
      </c>
      <c r="M74" s="1281">
        <v>4.0518669277030703</v>
      </c>
      <c r="N74" s="729">
        <v>4.0346837574769099</v>
      </c>
      <c r="O74" s="792">
        <v>8.4606896239759593</v>
      </c>
      <c r="P74" s="602">
        <v>8.6887205460501207</v>
      </c>
      <c r="Q74" s="1849">
        <v>8.6090460118164405</v>
      </c>
      <c r="R74" s="705">
        <v>5.3674738567048097</v>
      </c>
      <c r="S74" s="793">
        <v>5.4016360589313503</v>
      </c>
      <c r="T74" s="633">
        <v>5.4068951843749202</v>
      </c>
    </row>
    <row r="75" spans="1:20">
      <c r="A75" t="s">
        <v>229</v>
      </c>
      <c r="B75" s="6" t="str">
        <f>HYPERLINK("http://www.ncbi.nlm.nih.gov/gene/19094", "19094")</f>
        <v>19094</v>
      </c>
      <c r="C75" s="6" t="str">
        <f>HYPERLINK("http://www.ncbi.nlm.nih.gov/gene/5600", "5600")</f>
        <v>5600</v>
      </c>
      <c r="D75" t="str">
        <f>"Mapk11"</f>
        <v>Mapk11</v>
      </c>
      <c r="E75" t="s">
        <v>230</v>
      </c>
      <c r="F75" t="s">
        <v>231</v>
      </c>
      <c r="G75" t="s">
        <v>232</v>
      </c>
      <c r="H75" s="515">
        <v>1</v>
      </c>
      <c r="I75" s="149">
        <v>4.0167968627685502</v>
      </c>
      <c r="J75" s="237">
        <v>3.4450968731153599</v>
      </c>
      <c r="K75" s="128">
        <v>3.9242426919834199</v>
      </c>
      <c r="L75" s="1944">
        <v>3.6287620823895099</v>
      </c>
      <c r="M75" s="1342">
        <v>3.3302248974758002</v>
      </c>
      <c r="N75" s="1188">
        <v>3.4201012198624299</v>
      </c>
      <c r="O75" s="575">
        <v>5.7841889424789299</v>
      </c>
      <c r="P75" s="718">
        <v>5.6323841737303999</v>
      </c>
      <c r="Q75" s="1849">
        <v>5.7842273093123397</v>
      </c>
      <c r="R75" s="694">
        <v>4.0541768258379696</v>
      </c>
      <c r="S75" s="672">
        <v>4.2158712712469297</v>
      </c>
      <c r="T75" s="794">
        <v>4.2066511382066798</v>
      </c>
    </row>
    <row r="76" spans="1:20">
      <c r="A76" t="s">
        <v>233</v>
      </c>
      <c r="B76" s="6" t="str">
        <f>HYPERLINK("http://www.ncbi.nlm.nih.gov/gene/12778", "12778")</f>
        <v>12778</v>
      </c>
      <c r="C76" s="6" t="str">
        <f>HYPERLINK("http://www.ncbi.nlm.nih.gov/gene/57007", "57007")</f>
        <v>57007</v>
      </c>
      <c r="D76" t="str">
        <f>"Cxcr7"</f>
        <v>Cxcr7</v>
      </c>
      <c r="E76" t="s">
        <v>234</v>
      </c>
      <c r="F76" t="s">
        <v>238</v>
      </c>
      <c r="G76" t="s">
        <v>239</v>
      </c>
      <c r="H76" s="515">
        <v>1</v>
      </c>
      <c r="I76" s="194">
        <v>6.9417195526353304</v>
      </c>
      <c r="J76" s="160">
        <v>7.0795497847627002</v>
      </c>
      <c r="K76" s="129">
        <v>7.0713060291550498</v>
      </c>
      <c r="L76" s="1945">
        <v>6.6267870424097399</v>
      </c>
      <c r="M76" s="573">
        <v>6.9959084450373803</v>
      </c>
      <c r="N76" s="1148">
        <v>6.4490630329771701</v>
      </c>
      <c r="O76" s="795">
        <v>9.0005904917666903</v>
      </c>
      <c r="P76" s="590">
        <v>8.9851735084193205</v>
      </c>
      <c r="Q76" s="1890">
        <v>9.1738218515177206</v>
      </c>
      <c r="R76" s="739">
        <v>7.86491670340149</v>
      </c>
      <c r="S76" s="796">
        <v>7.9460721519747004</v>
      </c>
      <c r="T76" s="797">
        <v>7.8054850983634596</v>
      </c>
    </row>
    <row r="77" spans="1:20">
      <c r="A77" t="s">
        <v>240</v>
      </c>
      <c r="B77" s="6" t="str">
        <f>HYPERLINK("http://www.ncbi.nlm.nih.gov/gene/68043", "68043")</f>
        <v>68043</v>
      </c>
      <c r="C77" s="6" t="str">
        <f>HYPERLINK("http://www.ncbi.nlm.nih.gov/gene/221143", "221143")</f>
        <v>221143</v>
      </c>
      <c r="D77" t="str">
        <f>"N6amt2"</f>
        <v>N6amt2</v>
      </c>
      <c r="E77" t="s">
        <v>241</v>
      </c>
      <c r="F77" t="s">
        <v>242</v>
      </c>
      <c r="H77" s="515">
        <v>1</v>
      </c>
      <c r="I77" s="74">
        <v>5.8797928637313799</v>
      </c>
      <c r="J77" s="139">
        <v>5.8719096234741102</v>
      </c>
      <c r="K77" s="128">
        <v>5.8975179803929096</v>
      </c>
      <c r="L77" s="1937">
        <v>5.4878130084872003</v>
      </c>
      <c r="M77" s="992">
        <v>5.5655456375789498</v>
      </c>
      <c r="N77" s="1717">
        <v>5.0485442254569</v>
      </c>
      <c r="O77" s="589">
        <v>7.4351689943015096</v>
      </c>
      <c r="P77" s="693">
        <v>7.3107914010967097</v>
      </c>
      <c r="Q77" s="1946">
        <v>7.1616874133459296</v>
      </c>
      <c r="R77" s="798">
        <v>6.2223656160309702</v>
      </c>
      <c r="S77" s="720">
        <v>6.2318882311930297</v>
      </c>
      <c r="T77" s="789">
        <v>6.2614426590210899</v>
      </c>
    </row>
    <row r="78" spans="1:20">
      <c r="A78" t="s">
        <v>243</v>
      </c>
      <c r="B78" s="6" t="str">
        <f>HYPERLINK("http://www.ncbi.nlm.nih.gov/gene/242509", "242509")</f>
        <v>242509</v>
      </c>
      <c r="C78" s="6" t="str">
        <f>HYPERLINK("http://www.ncbi.nlm.nih.gov/gene/54796", "54796")</f>
        <v>54796</v>
      </c>
      <c r="D78" t="str">
        <f>"Bnc2"</f>
        <v>Bnc2</v>
      </c>
      <c r="E78" t="s">
        <v>244</v>
      </c>
      <c r="F78" t="s">
        <v>245</v>
      </c>
      <c r="H78" s="515">
        <v>1</v>
      </c>
      <c r="I78" s="169">
        <v>5.0830838736551502</v>
      </c>
      <c r="J78" s="27">
        <v>4.4132897139172496</v>
      </c>
      <c r="K78" s="311">
        <v>4.3833995111409401</v>
      </c>
      <c r="L78" s="1947">
        <v>4.1616089012859696</v>
      </c>
      <c r="M78" s="1017">
        <v>3.9698637826885999</v>
      </c>
      <c r="N78" s="722">
        <v>4.0453294514664</v>
      </c>
      <c r="O78" s="799">
        <v>6.6496784588040496</v>
      </c>
      <c r="P78" s="725">
        <v>7.0075240139329003</v>
      </c>
      <c r="Q78" s="1946">
        <v>6.6561672375108296</v>
      </c>
      <c r="R78" s="800">
        <v>5.5052482763718498</v>
      </c>
      <c r="S78" s="801">
        <v>5.7981592155399202</v>
      </c>
      <c r="T78" s="802">
        <v>5.3940862971423602</v>
      </c>
    </row>
    <row r="79" spans="1:20">
      <c r="A79" t="s">
        <v>246</v>
      </c>
      <c r="B79" s="6" t="str">
        <f>HYPERLINK("http://www.ncbi.nlm.nih.gov/gene/71973", "71973")</f>
        <v>71973</v>
      </c>
      <c r="C79" s="6" t="str">
        <f>HYPERLINK("http://www.ncbi.nlm.nih.gov/gene/348093", "348093")</f>
        <v>348093</v>
      </c>
      <c r="D79" t="str">
        <f>"Rbpms2"</f>
        <v>Rbpms2</v>
      </c>
      <c r="E79" t="s">
        <v>247</v>
      </c>
      <c r="F79" t="s">
        <v>248</v>
      </c>
      <c r="H79" s="515">
        <v>1</v>
      </c>
      <c r="I79" s="55">
        <v>4.8577521906891201</v>
      </c>
      <c r="J79" s="95">
        <v>4.5068982928189403</v>
      </c>
      <c r="K79" s="50">
        <v>4.8178941002631097</v>
      </c>
      <c r="L79" s="1948">
        <v>4.2251702865873497</v>
      </c>
      <c r="M79" s="1017">
        <v>4.1798878794981498</v>
      </c>
      <c r="N79" s="1332">
        <v>4.44389285361527</v>
      </c>
      <c r="O79" s="803">
        <v>6.95241012183864</v>
      </c>
      <c r="P79" s="728">
        <v>6.8783769948304103</v>
      </c>
      <c r="Q79" s="1949">
        <v>7.0131642368074001</v>
      </c>
      <c r="R79" s="805">
        <v>5.62418233160236</v>
      </c>
      <c r="S79" s="806">
        <v>5.9514094128792099</v>
      </c>
      <c r="T79" s="772">
        <v>6.0803108483024904</v>
      </c>
    </row>
    <row r="80" spans="1:20">
      <c r="A80" t="s">
        <v>249</v>
      </c>
      <c r="B80" s="6" t="str">
        <f>HYPERLINK("http://www.ncbi.nlm.nih.gov/gene/13876", "13876")</f>
        <v>13876</v>
      </c>
      <c r="C80" s="6" t="str">
        <f>HYPERLINK("http://www.ncbi.nlm.nih.gov/gene/2078", "2078")</f>
        <v>2078</v>
      </c>
      <c r="D80" t="str">
        <f>"Erg"</f>
        <v>Erg</v>
      </c>
      <c r="E80" t="s">
        <v>250</v>
      </c>
      <c r="F80" t="s">
        <v>226</v>
      </c>
      <c r="H80" s="515">
        <v>1</v>
      </c>
      <c r="I80" s="68">
        <v>3.3808330785147098</v>
      </c>
      <c r="J80" s="156">
        <v>3.2394287221171001</v>
      </c>
      <c r="K80" s="75">
        <v>3.0406447416325699</v>
      </c>
      <c r="L80" s="1940">
        <v>2.8392311910691799</v>
      </c>
      <c r="M80" s="722">
        <v>2.7949982036723302</v>
      </c>
      <c r="N80" s="555">
        <v>2.9974248273364199</v>
      </c>
      <c r="O80" s="807">
        <v>4.9030118429460696</v>
      </c>
      <c r="P80" s="725">
        <v>5.2465220581488898</v>
      </c>
      <c r="Q80" s="1905">
        <v>5.0716065718591601</v>
      </c>
      <c r="R80" s="658">
        <v>3.7180659039905102</v>
      </c>
      <c r="S80" s="801">
        <v>4.2531368617586196</v>
      </c>
      <c r="T80" s="808">
        <v>4.1505034683386697</v>
      </c>
    </row>
    <row r="81" spans="1:20">
      <c r="A81" t="s">
        <v>227</v>
      </c>
      <c r="B81" s="6" t="str">
        <f>HYPERLINK("http://www.ncbi.nlm.nih.gov/gene/22139", "22139")</f>
        <v>22139</v>
      </c>
      <c r="C81" s="6" t="str">
        <f>HYPERLINK("http://www.ncbi.nlm.nih.gov/gene/7276", "7276")</f>
        <v>7276</v>
      </c>
      <c r="D81" t="str">
        <f>"Ttr"</f>
        <v>Ttr</v>
      </c>
      <c r="E81" t="s">
        <v>228</v>
      </c>
      <c r="F81" t="s">
        <v>235</v>
      </c>
      <c r="H81" s="515">
        <v>1</v>
      </c>
      <c r="I81" s="51">
        <v>3.8309891164896701</v>
      </c>
      <c r="J81" s="23">
        <v>3.8012834250808201</v>
      </c>
      <c r="K81" s="181">
        <v>3.5795388545353899</v>
      </c>
      <c r="L81" s="1869">
        <v>3.7778467652664798</v>
      </c>
      <c r="M81" s="734">
        <v>4.0159588052618904</v>
      </c>
      <c r="N81" s="715">
        <v>4.0622598748835701</v>
      </c>
      <c r="O81" s="809">
        <v>7.24269606723142</v>
      </c>
      <c r="P81" s="810">
        <v>7.6512076154477198</v>
      </c>
      <c r="Q81" s="1938">
        <v>6.9095587133971197</v>
      </c>
      <c r="R81" s="805">
        <v>5.2200942733798898</v>
      </c>
      <c r="S81" s="626">
        <v>5.2473123284834404</v>
      </c>
      <c r="T81" s="716">
        <v>4.55896578306983</v>
      </c>
    </row>
    <row r="82" spans="1:20">
      <c r="A82" t="s">
        <v>236</v>
      </c>
      <c r="B82" s="6" t="str">
        <f>HYPERLINK("http://www.ncbi.nlm.nih.gov/gene/22413", "22413")</f>
        <v>22413</v>
      </c>
      <c r="C82" s="6" t="str">
        <f>HYPERLINK("http://www.ncbi.nlm.nih.gov/gene/7472", "7472")</f>
        <v>7472</v>
      </c>
      <c r="D82" t="str">
        <f>"Wnt2"</f>
        <v>Wnt2</v>
      </c>
      <c r="E82" t="s">
        <v>237</v>
      </c>
      <c r="F82" t="s">
        <v>251</v>
      </c>
      <c r="G82" t="s">
        <v>252</v>
      </c>
      <c r="H82" s="515">
        <v>1</v>
      </c>
      <c r="I82" s="43">
        <v>3.7207064611895699</v>
      </c>
      <c r="J82" s="59">
        <v>3.7715761682440698</v>
      </c>
      <c r="K82" s="165">
        <v>3.5953901541838702</v>
      </c>
      <c r="L82" s="1937">
        <v>3.4440458767623801</v>
      </c>
      <c r="M82" s="688">
        <v>3.7219977588650601</v>
      </c>
      <c r="N82" s="1081">
        <v>3.8183287815615801</v>
      </c>
      <c r="O82" s="581">
        <v>6.7730152314030398</v>
      </c>
      <c r="P82" s="811">
        <v>6.5521308021263902</v>
      </c>
      <c r="Q82" s="1895">
        <v>6.4580943522895202</v>
      </c>
      <c r="R82" s="650">
        <v>4.5337319398701199</v>
      </c>
      <c r="S82" s="751">
        <v>4.6971057128754197</v>
      </c>
      <c r="T82" s="812">
        <v>4.4489011419288103</v>
      </c>
    </row>
    <row r="83" spans="1:20">
      <c r="A83" t="s">
        <v>253</v>
      </c>
      <c r="B83" s="6" t="str">
        <f>HYPERLINK("http://www.ncbi.nlm.nih.gov/gene/20604", "20604")</f>
        <v>20604</v>
      </c>
      <c r="C83" s="6" t="str">
        <f>HYPERLINK("http://www.ncbi.nlm.nih.gov/gene/6750", "6750")</f>
        <v>6750</v>
      </c>
      <c r="D83" t="str">
        <f>"Sst"</f>
        <v>Sst</v>
      </c>
      <c r="E83" t="s">
        <v>254</v>
      </c>
      <c r="F83" t="s">
        <v>271</v>
      </c>
      <c r="G83" t="s">
        <v>272</v>
      </c>
      <c r="H83" s="515">
        <v>1</v>
      </c>
      <c r="I83" s="239">
        <v>4.7872435558273096</v>
      </c>
      <c r="J83" s="142">
        <v>4.6817809025581196</v>
      </c>
      <c r="K83" s="109">
        <v>4.6532169038417104</v>
      </c>
      <c r="L83" s="1950">
        <v>4.9211040172749003</v>
      </c>
      <c r="M83" s="708">
        <v>5.1882925161696098</v>
      </c>
      <c r="N83" s="537">
        <v>5.0461295418450698</v>
      </c>
      <c r="O83" s="803">
        <v>7.8923040812104501</v>
      </c>
      <c r="P83" s="666">
        <v>8.1171099330855991</v>
      </c>
      <c r="Q83" s="1951">
        <v>8.3161117570047303</v>
      </c>
      <c r="R83" s="784">
        <v>5.9184155532836797</v>
      </c>
      <c r="S83" s="813">
        <v>6.3440534698478404</v>
      </c>
      <c r="T83" s="814">
        <v>6.0246814540707803</v>
      </c>
    </row>
    <row r="84" spans="1:20">
      <c r="A84" t="s">
        <v>273</v>
      </c>
      <c r="B84" s="6" t="str">
        <f>HYPERLINK("http://www.ncbi.nlm.nih.gov/gene/18946", "18946")</f>
        <v>18946</v>
      </c>
      <c r="C84" s="6" t="str">
        <f>HYPERLINK("http://www.ncbi.nlm.nih.gov/gene/5407", "5407")</f>
        <v>5407</v>
      </c>
      <c r="D84" t="str">
        <f>"Pnliprp1"</f>
        <v>Pnliprp1</v>
      </c>
      <c r="E84" t="s">
        <v>274</v>
      </c>
      <c r="F84" t="s">
        <v>255</v>
      </c>
      <c r="G84" t="s">
        <v>256</v>
      </c>
      <c r="H84" s="515">
        <v>1</v>
      </c>
      <c r="I84" s="299">
        <v>2.2509573281727699</v>
      </c>
      <c r="J84" s="55">
        <v>2.7302194027561102</v>
      </c>
      <c r="K84" s="141">
        <v>2.6314605531286199</v>
      </c>
      <c r="L84" s="1869">
        <v>2.4335475548637802</v>
      </c>
      <c r="M84" s="1153">
        <v>2.23510180070793</v>
      </c>
      <c r="N84" s="1332">
        <v>2.3139681150704399</v>
      </c>
      <c r="O84" s="637">
        <v>4.7281391146784904</v>
      </c>
      <c r="P84" s="815">
        <v>5.2808610150664999</v>
      </c>
      <c r="Q84" s="1851">
        <v>4.8880934930693902</v>
      </c>
      <c r="R84" s="650">
        <v>3.26555629469014</v>
      </c>
      <c r="S84" s="816">
        <v>3.8063349818905801</v>
      </c>
      <c r="T84" s="817">
        <v>3.5665940772278102</v>
      </c>
    </row>
    <row r="85" spans="1:20">
      <c r="A85" t="s">
        <v>257</v>
      </c>
      <c r="B85" s="6" t="str">
        <f>HYPERLINK("http://www.ncbi.nlm.nih.gov/gene/13193", "13193")</f>
        <v>13193</v>
      </c>
      <c r="C85" s="6" t="str">
        <f>HYPERLINK("http://www.ncbi.nlm.nih.gov/gene/1641", "1641")</f>
        <v>1641</v>
      </c>
      <c r="D85" t="str">
        <f>"Dcx"</f>
        <v>Dcx</v>
      </c>
      <c r="E85" t="s">
        <v>258</v>
      </c>
      <c r="F85" t="s">
        <v>259</v>
      </c>
      <c r="H85" s="515">
        <v>1</v>
      </c>
      <c r="I85" s="194">
        <v>2.70813629019873</v>
      </c>
      <c r="J85" s="181">
        <v>2.5010883477233699</v>
      </c>
      <c r="K85" s="109">
        <v>2.48825659074144</v>
      </c>
      <c r="L85" s="1952">
        <v>2.7287223597613499</v>
      </c>
      <c r="M85" s="1174">
        <v>2.4446450976785998</v>
      </c>
      <c r="N85" s="859">
        <v>2.6368860463800998</v>
      </c>
      <c r="O85" s="668">
        <v>5.1424205068717503</v>
      </c>
      <c r="P85" s="818">
        <v>4.4474815043591196</v>
      </c>
      <c r="Q85" s="1953">
        <v>4.9611401205765704</v>
      </c>
      <c r="R85" s="819">
        <v>3.9023646934849801</v>
      </c>
      <c r="S85" s="820">
        <v>3.86219016895808</v>
      </c>
      <c r="T85" s="821">
        <v>3.6702289900827898</v>
      </c>
    </row>
    <row r="86" spans="1:20">
      <c r="A86" t="s">
        <v>260</v>
      </c>
      <c r="B86" s="6" t="str">
        <f>HYPERLINK("http://www.ncbi.nlm.nih.gov/gene/108052", "108052")</f>
        <v>108052</v>
      </c>
      <c r="C86" s="6" t="str">
        <f>HYPERLINK("http://www.ncbi.nlm.nih.gov/gene/6563", "6563")</f>
        <v>6563</v>
      </c>
      <c r="D86" t="str">
        <f>"Slc14a1"</f>
        <v>Slc14a1</v>
      </c>
      <c r="E86" t="s">
        <v>261</v>
      </c>
      <c r="F86" t="s">
        <v>262</v>
      </c>
      <c r="H86" s="515">
        <v>1</v>
      </c>
      <c r="I86" s="136">
        <v>4.0700619656399502</v>
      </c>
      <c r="J86" s="39">
        <v>3.98129728686706</v>
      </c>
      <c r="K86" s="195">
        <v>4.0358168582324998</v>
      </c>
      <c r="L86" s="1954">
        <v>4.0508525937265203</v>
      </c>
      <c r="M86" s="1073">
        <v>3.8935453882244402</v>
      </c>
      <c r="N86" s="997">
        <v>4.0760016827896397</v>
      </c>
      <c r="O86" s="822">
        <v>7.2692875533945003</v>
      </c>
      <c r="P86" s="823">
        <v>7.1794161077308498</v>
      </c>
      <c r="Q86" s="1953">
        <v>7.4904260498678896</v>
      </c>
      <c r="R86" s="824">
        <v>5.8784541071206204</v>
      </c>
      <c r="S86" s="825">
        <v>6.0243329902842504</v>
      </c>
      <c r="T86" s="826">
        <v>5.9587082852910704</v>
      </c>
    </row>
    <row r="87" spans="1:20">
      <c r="A87" t="s">
        <v>263</v>
      </c>
      <c r="B87" s="6" t="str">
        <f>HYPERLINK("http://www.ncbi.nlm.nih.gov/gene/12638", "12638")</f>
        <v>12638</v>
      </c>
      <c r="C87" s="6" t="str">
        <f>HYPERLINK("http://www.ncbi.nlm.nih.gov/gene/1080", "1080")</f>
        <v>1080</v>
      </c>
      <c r="D87" t="str">
        <f>"Cftr"</f>
        <v>Cftr</v>
      </c>
      <c r="E87" t="s">
        <v>264</v>
      </c>
      <c r="F87" t="s">
        <v>267</v>
      </c>
      <c r="G87" t="s">
        <v>268</v>
      </c>
      <c r="H87" s="515">
        <v>1</v>
      </c>
      <c r="I87" s="195">
        <v>2.3158652529656201</v>
      </c>
      <c r="J87" s="64">
        <v>2.3999109145919801</v>
      </c>
      <c r="K87" s="65">
        <v>2.0232909469307301</v>
      </c>
      <c r="L87" s="1952">
        <v>2.537540050639</v>
      </c>
      <c r="M87" s="688">
        <v>2.5362908788135998</v>
      </c>
      <c r="N87" s="555">
        <v>2.3031521100137602</v>
      </c>
      <c r="O87" s="795">
        <v>5.3009178375718404</v>
      </c>
      <c r="P87" s="553">
        <v>5.0517145632593303</v>
      </c>
      <c r="Q87" s="1886">
        <v>5.6773545589669503</v>
      </c>
      <c r="R87" s="827">
        <v>4.03633607797987</v>
      </c>
      <c r="S87" s="732">
        <v>3.8243141123897302</v>
      </c>
      <c r="T87" s="828">
        <v>3.7090080704841202</v>
      </c>
    </row>
    <row r="88" spans="1:20">
      <c r="A88" t="s">
        <v>269</v>
      </c>
      <c r="B88" s="6" t="str">
        <f>HYPERLINK("http://www.ncbi.nlm.nih.gov/gene/22773", "22773")</f>
        <v>22773</v>
      </c>
      <c r="C88" s="6" t="str">
        <f>HYPERLINK("http://www.ncbi.nlm.nih.gov/gene/7547", "7547")</f>
        <v>7547</v>
      </c>
      <c r="D88" t="str">
        <f>"Zic3"</f>
        <v>Zic3</v>
      </c>
      <c r="E88" t="s">
        <v>270</v>
      </c>
      <c r="F88" t="s">
        <v>281</v>
      </c>
      <c r="H88" s="515">
        <v>1</v>
      </c>
      <c r="I88" s="305">
        <v>2.8045788914861398</v>
      </c>
      <c r="J88" s="312">
        <v>2.44394290812243</v>
      </c>
      <c r="K88" s="26">
        <v>2.7538588839783</v>
      </c>
      <c r="L88" s="1955">
        <v>2.79006078370504</v>
      </c>
      <c r="M88" s="1442">
        <v>2.3844959995919002</v>
      </c>
      <c r="N88" s="532">
        <v>2.7657178848763602</v>
      </c>
      <c r="O88" s="829">
        <v>4.3423822154318499</v>
      </c>
      <c r="P88" s="587">
        <v>4.1911991015789702</v>
      </c>
      <c r="Q88" s="1956">
        <v>3.8502875293253198</v>
      </c>
      <c r="R88" s="629">
        <v>2.90675807979206</v>
      </c>
      <c r="S88" s="830">
        <v>3.0726131131223799</v>
      </c>
      <c r="T88" s="716">
        <v>2.9082434944696698</v>
      </c>
    </row>
    <row r="89" spans="1:20">
      <c r="A89" t="s">
        <v>265</v>
      </c>
      <c r="B89" s="6" t="str">
        <f>HYPERLINK("http://www.ncbi.nlm.nih.gov/gene/30959", "30959")</f>
        <v>30959</v>
      </c>
      <c r="C89" s="6" t="str">
        <f>HYPERLINK("http://www.ncbi.nlm.nih.gov/gene/29118", "29118")</f>
        <v>29118</v>
      </c>
      <c r="D89" t="str">
        <f>"Ddx25"</f>
        <v>Ddx25</v>
      </c>
      <c r="E89" t="s">
        <v>266</v>
      </c>
      <c r="F89" t="s">
        <v>298</v>
      </c>
      <c r="H89" s="515">
        <v>1</v>
      </c>
      <c r="I89" s="43">
        <v>3.0716174516110901</v>
      </c>
      <c r="J89" s="239">
        <v>2.9501693689050499</v>
      </c>
      <c r="K89" s="45">
        <v>3.46689620910499</v>
      </c>
      <c r="L89" s="1957">
        <v>3.05217880409326</v>
      </c>
      <c r="M89" s="1289">
        <v>2.86011212948566</v>
      </c>
      <c r="N89" s="654">
        <v>3.45096953337098</v>
      </c>
      <c r="O89" s="831">
        <v>5.0537783038888904</v>
      </c>
      <c r="P89" s="815">
        <v>5.1197433783241904</v>
      </c>
      <c r="Q89" s="1907">
        <v>4.7882816861173296</v>
      </c>
      <c r="R89" s="832">
        <v>3.2936436945559899</v>
      </c>
      <c r="S89" s="833">
        <v>3.6853516189220699</v>
      </c>
      <c r="T89" s="834">
        <v>3.2617695493727501</v>
      </c>
    </row>
    <row r="90" spans="1:20">
      <c r="A90" t="s">
        <v>299</v>
      </c>
      <c r="B90" s="6" t="str">
        <f>HYPERLINK("http://www.ncbi.nlm.nih.gov/gene/209558", "209558")</f>
        <v>209558</v>
      </c>
      <c r="C90" s="6" t="str">
        <f>HYPERLINK("http://www.ncbi.nlm.nih.gov/gene/5169", "5169")</f>
        <v>5169</v>
      </c>
      <c r="D90" t="str">
        <f>"Enpp3"</f>
        <v>Enpp3</v>
      </c>
      <c r="E90" t="s">
        <v>300</v>
      </c>
      <c r="F90" t="s">
        <v>288</v>
      </c>
      <c r="G90" t="s">
        <v>289</v>
      </c>
      <c r="H90" s="515">
        <v>1</v>
      </c>
      <c r="I90" s="65">
        <v>3.4737710467837899</v>
      </c>
      <c r="J90" s="312">
        <v>3.5670253546563999</v>
      </c>
      <c r="K90" s="74">
        <v>4.0471259643420803</v>
      </c>
      <c r="L90" s="1954">
        <v>3.67398353110105</v>
      </c>
      <c r="M90" s="1585">
        <v>3.4321638390438598</v>
      </c>
      <c r="N90" s="672">
        <v>4.3353660108874301</v>
      </c>
      <c r="O90" s="731">
        <v>5.6337808291705596</v>
      </c>
      <c r="P90" s="756">
        <v>5.5237704027356598</v>
      </c>
      <c r="Q90" s="1897">
        <v>5.6905737031650698</v>
      </c>
      <c r="R90" s="835">
        <v>4.4051221923652504</v>
      </c>
      <c r="S90" s="836">
        <v>4.4668954097476101</v>
      </c>
      <c r="T90" s="828">
        <v>4.5449679479480096</v>
      </c>
    </row>
    <row r="91" spans="1:20">
      <c r="A91" t="s">
        <v>290</v>
      </c>
      <c r="B91" s="6" t="str">
        <f>HYPERLINK("http://www.ncbi.nlm.nih.gov/gene/64707", "64707")</f>
        <v>64707</v>
      </c>
      <c r="C91" s="6" t="str">
        <f>HYPERLINK("http://www.ncbi.nlm.nih.gov/gene/79723", "79723")</f>
        <v>79723</v>
      </c>
      <c r="D91" t="str">
        <f>"Suv39h2"</f>
        <v>Suv39h2</v>
      </c>
      <c r="E91" t="s">
        <v>291</v>
      </c>
      <c r="F91" t="s">
        <v>305</v>
      </c>
      <c r="G91" t="s">
        <v>306</v>
      </c>
      <c r="H91" s="515">
        <v>1</v>
      </c>
      <c r="I91" s="150">
        <v>4.2690174266995298</v>
      </c>
      <c r="J91" s="225">
        <v>4.3589789466945001</v>
      </c>
      <c r="K91" s="46">
        <v>4.6601063322156602</v>
      </c>
      <c r="L91" s="1958">
        <v>4.5520209354230303</v>
      </c>
      <c r="M91" s="1037">
        <v>4.6191822090345198</v>
      </c>
      <c r="N91" s="793">
        <v>5.0421516935301796</v>
      </c>
      <c r="O91" s="792">
        <v>6.2858983168572502</v>
      </c>
      <c r="P91" s="718">
        <v>6.2348215894842802</v>
      </c>
      <c r="Q91" s="1959">
        <v>6.2492375397400703</v>
      </c>
      <c r="R91" s="835">
        <v>5.1678095153169199</v>
      </c>
      <c r="S91" s="838">
        <v>5.2963648783240602</v>
      </c>
      <c r="T91" s="839">
        <v>5.21002888325883</v>
      </c>
    </row>
    <row r="92" spans="1:20">
      <c r="A92" t="s">
        <v>307</v>
      </c>
      <c r="B92" s="6" t="str">
        <f>HYPERLINK("http://www.ncbi.nlm.nih.gov/gene/76220", "76220")</f>
        <v>76220</v>
      </c>
      <c r="C92" s="6" t="str">
        <f>HYPERLINK("http://www.ncbi.nlm.nih.gov/gene/", "")</f>
        <v/>
      </c>
      <c r="D92" t="str">
        <f>"6530402F18Rik"</f>
        <v>6530402F18Rik</v>
      </c>
      <c r="E92" t="s">
        <v>308</v>
      </c>
      <c r="H92" s="515">
        <v>1</v>
      </c>
      <c r="I92" s="215">
        <v>2.0975844218999899</v>
      </c>
      <c r="J92" s="334">
        <v>3.4533522084402701</v>
      </c>
      <c r="K92" s="284">
        <v>1.9600192333330999</v>
      </c>
      <c r="L92" s="1955">
        <v>2.5088299665963301</v>
      </c>
      <c r="M92" s="663">
        <v>2.3821790271285801</v>
      </c>
      <c r="N92" s="876">
        <v>2.2494274437078401</v>
      </c>
      <c r="O92" s="840">
        <v>3.9509307865269099</v>
      </c>
      <c r="P92" s="841">
        <v>4.1904489263605198</v>
      </c>
      <c r="Q92" s="1960">
        <v>3.3324949934072601</v>
      </c>
      <c r="R92" s="835">
        <v>2.8526658768703301</v>
      </c>
      <c r="S92" s="720">
        <v>2.88315231067934</v>
      </c>
      <c r="T92" s="843">
        <v>2.36820927532156</v>
      </c>
    </row>
    <row r="93" spans="1:20">
      <c r="A93" t="s">
        <v>309</v>
      </c>
      <c r="B93" s="6" t="str">
        <f>HYPERLINK("http://www.ncbi.nlm.nih.gov/gene/22152", "22152")</f>
        <v>22152</v>
      </c>
      <c r="C93" s="6" t="str">
        <f>HYPERLINK("http://www.ncbi.nlm.nih.gov/gene/10381", "10381")</f>
        <v>10381</v>
      </c>
      <c r="D93" t="str">
        <f>"Tubb3"</f>
        <v>Tubb3</v>
      </c>
      <c r="E93" t="s">
        <v>310</v>
      </c>
      <c r="F93" t="s">
        <v>275</v>
      </c>
      <c r="G93" t="s">
        <v>276</v>
      </c>
      <c r="H93" s="515">
        <v>1</v>
      </c>
      <c r="I93" s="110">
        <v>2.7181059677227699</v>
      </c>
      <c r="J93" s="148">
        <v>2.8105268734758702</v>
      </c>
      <c r="K93" s="337">
        <v>1.9915181632132799</v>
      </c>
      <c r="L93" s="1961">
        <v>1.9054397728747701</v>
      </c>
      <c r="M93" s="887">
        <v>3.2835475772193501</v>
      </c>
      <c r="N93" s="694">
        <v>2.8306202252073698</v>
      </c>
      <c r="O93" s="768">
        <v>3.9230217990723402</v>
      </c>
      <c r="P93" s="526">
        <v>4.4834685139309398</v>
      </c>
      <c r="Q93" s="1962">
        <v>3.55438318978165</v>
      </c>
      <c r="R93" s="604">
        <v>2.7060618525630602</v>
      </c>
      <c r="S93" s="845">
        <v>3.1928690267782098</v>
      </c>
      <c r="T93" s="846">
        <v>2.8249623780606399</v>
      </c>
    </row>
    <row r="94" spans="1:20">
      <c r="A94" t="s">
        <v>277</v>
      </c>
      <c r="B94" s="6" t="str">
        <f>HYPERLINK("http://www.ncbi.nlm.nih.gov/gene/432460", "432460")</f>
        <v>432460</v>
      </c>
      <c r="C94" s="6" t="str">
        <f>HYPERLINK("http://www.ncbi.nlm.nih.gov/gene/", "")</f>
        <v/>
      </c>
      <c r="D94" t="str">
        <f>"Gm5423"</f>
        <v>Gm5423</v>
      </c>
      <c r="E94" t="s">
        <v>278</v>
      </c>
      <c r="F94" t="s">
        <v>90</v>
      </c>
      <c r="H94" s="515">
        <v>1</v>
      </c>
      <c r="I94" s="342">
        <v>2.97646909161978</v>
      </c>
      <c r="J94" s="343">
        <v>2.8768418159986702</v>
      </c>
      <c r="K94" s="81">
        <v>3.42549619210586</v>
      </c>
      <c r="L94" s="1963">
        <v>4.0813729846647604</v>
      </c>
      <c r="M94" s="1228">
        <v>3.8368345861212001</v>
      </c>
      <c r="N94" s="904">
        <v>4.7239563021488298</v>
      </c>
      <c r="O94" s="847">
        <v>4.1151809710013696</v>
      </c>
      <c r="P94" s="848">
        <v>4.5815113246641097</v>
      </c>
      <c r="Q94" s="1877">
        <v>5.3625062485894297</v>
      </c>
      <c r="R94" s="849">
        <v>3.8490603871034801</v>
      </c>
      <c r="S94" s="543">
        <v>3.6691875411427302</v>
      </c>
      <c r="T94" s="633">
        <v>3.8329987226814599</v>
      </c>
    </row>
    <row r="95" spans="1:20">
      <c r="A95" t="s">
        <v>279</v>
      </c>
      <c r="B95" s="6" t="str">
        <f>HYPERLINK("http://www.ncbi.nlm.nih.gov/gene/20472", "20472")</f>
        <v>20472</v>
      </c>
      <c r="C95" s="6" t="str">
        <f>HYPERLINK("http://www.ncbi.nlm.nih.gov/gene/10736", "10736")</f>
        <v>10736</v>
      </c>
      <c r="D95" t="str">
        <f>"Six2"</f>
        <v>Six2</v>
      </c>
      <c r="E95" t="s">
        <v>280</v>
      </c>
      <c r="F95" t="s">
        <v>302</v>
      </c>
      <c r="H95" s="515">
        <v>1</v>
      </c>
      <c r="I95" s="243">
        <v>3.1923290606319799</v>
      </c>
      <c r="J95" s="257">
        <v>3.4600075360379301</v>
      </c>
      <c r="K95" s="299">
        <v>3.7365098186818599</v>
      </c>
      <c r="L95" s="1964">
        <v>5.2264681622107902</v>
      </c>
      <c r="M95" s="916">
        <v>5.2662178364281802</v>
      </c>
      <c r="N95" s="928">
        <v>5.6671203680436602</v>
      </c>
      <c r="O95" s="850">
        <v>6.6884008740913501</v>
      </c>
      <c r="P95" s="753">
        <v>6.6230678692433402</v>
      </c>
      <c r="Q95" s="1959">
        <v>6.8675946858904497</v>
      </c>
      <c r="R95" s="851">
        <v>4.27791655866148</v>
      </c>
      <c r="S95" s="595">
        <v>4.4563931693768</v>
      </c>
      <c r="T95" s="673">
        <v>4.42874707346596</v>
      </c>
    </row>
    <row r="96" spans="1:20">
      <c r="A96" t="s">
        <v>303</v>
      </c>
      <c r="B96" s="6" t="str">
        <f>HYPERLINK("http://www.ncbi.nlm.nih.gov/gene/72780", "72780")</f>
        <v>72780</v>
      </c>
      <c r="C96" s="6" t="str">
        <f>HYPERLINK("http://www.ncbi.nlm.nih.gov/gene/84870", "84870")</f>
        <v>84870</v>
      </c>
      <c r="D96" t="str">
        <f>"Rspo3"</f>
        <v>Rspo3</v>
      </c>
      <c r="E96" t="s">
        <v>304</v>
      </c>
      <c r="F96" t="s">
        <v>282</v>
      </c>
      <c r="H96" s="515">
        <v>1</v>
      </c>
      <c r="I96" s="289">
        <v>4.3907286173197004</v>
      </c>
      <c r="J96" s="349">
        <v>4.3433258064107703</v>
      </c>
      <c r="K96" s="350">
        <v>4.5826529040137904</v>
      </c>
      <c r="L96" s="1965">
        <v>5.4428720465293496</v>
      </c>
      <c r="M96" s="1213">
        <v>5.6148617528596203</v>
      </c>
      <c r="N96" s="1454">
        <v>5.7683154212388503</v>
      </c>
      <c r="O96" s="852">
        <v>6.3865473716409902</v>
      </c>
      <c r="P96" s="718">
        <v>6.7106109653295398</v>
      </c>
      <c r="Q96" s="1966">
        <v>6.8273301600512299</v>
      </c>
      <c r="R96" s="853">
        <v>5.3247459253833203</v>
      </c>
      <c r="S96" s="854">
        <v>5.3865243992900904</v>
      </c>
      <c r="T96" s="681">
        <v>5.1929272558612496</v>
      </c>
    </row>
    <row r="97" spans="1:20">
      <c r="A97" t="s">
        <v>283</v>
      </c>
      <c r="B97" s="6" t="str">
        <f>HYPERLINK("http://www.ncbi.nlm.nih.gov/gene/244757", "244757")</f>
        <v>244757</v>
      </c>
      <c r="C97" s="6" t="str">
        <f>HYPERLINK("http://www.ncbi.nlm.nih.gov/gene/89944", "89944")</f>
        <v>89944</v>
      </c>
      <c r="D97" t="str">
        <f>"Glb1l2"</f>
        <v>Glb1l2</v>
      </c>
      <c r="E97" t="s">
        <v>284</v>
      </c>
      <c r="F97" t="s">
        <v>285</v>
      </c>
      <c r="H97" s="515">
        <v>1</v>
      </c>
      <c r="I97" s="263">
        <v>3.8961668901730002</v>
      </c>
      <c r="J97" s="354">
        <v>4.1041480337183103</v>
      </c>
      <c r="K97" s="70">
        <v>4.7392145235943497</v>
      </c>
      <c r="L97" s="1967">
        <v>5.0569988953931597</v>
      </c>
      <c r="M97" s="527">
        <v>5.3872455860473396</v>
      </c>
      <c r="N97" s="848">
        <v>5.5135416949462002</v>
      </c>
      <c r="O97" s="651">
        <v>5.9171319764108601</v>
      </c>
      <c r="P97" s="844">
        <v>5.4019408492912104</v>
      </c>
      <c r="Q97" s="1968">
        <v>5.5863178520615397</v>
      </c>
      <c r="R97" s="856">
        <v>4.1714817313894903</v>
      </c>
      <c r="S97" s="790">
        <v>4.7964431755226498</v>
      </c>
      <c r="T97" s="857">
        <v>4.5125758239755704</v>
      </c>
    </row>
    <row r="98" spans="1:20">
      <c r="A98" t="s">
        <v>286</v>
      </c>
      <c r="B98" s="6" t="str">
        <f>HYPERLINK("http://www.ncbi.nlm.nih.gov/gene/240119", "240119")</f>
        <v>240119</v>
      </c>
      <c r="C98" s="6" t="str">
        <f>HYPERLINK("http://www.ncbi.nlm.nih.gov/gene/84620", "84620")</f>
        <v>84620</v>
      </c>
      <c r="D98" t="str">
        <f>"St6gal2"</f>
        <v>St6gal2</v>
      </c>
      <c r="E98" t="s">
        <v>287</v>
      </c>
      <c r="F98" t="s">
        <v>292</v>
      </c>
      <c r="G98" t="s">
        <v>293</v>
      </c>
      <c r="H98" s="515">
        <v>1</v>
      </c>
      <c r="I98" s="236">
        <v>3.44592674694713</v>
      </c>
      <c r="J98" s="257">
        <v>3.2424087732312299</v>
      </c>
      <c r="K98" s="236">
        <v>3.44592674694713</v>
      </c>
      <c r="L98" s="1969">
        <v>5.1831949648543798</v>
      </c>
      <c r="M98" s="862">
        <v>5.4989928091920204</v>
      </c>
      <c r="N98" s="1246">
        <v>5.8726222101842396</v>
      </c>
      <c r="O98" s="717">
        <v>6.1838791210387303</v>
      </c>
      <c r="P98" s="858">
        <v>6.0819138749295796</v>
      </c>
      <c r="Q98" s="1847">
        <v>6.23739349912102</v>
      </c>
      <c r="R98" s="859">
        <v>3.7132957920209901</v>
      </c>
      <c r="S98" s="532">
        <v>4.0875541056025604</v>
      </c>
      <c r="T98" s="860">
        <v>3.58554642576896</v>
      </c>
    </row>
    <row r="99" spans="1:20">
      <c r="A99" t="s">
        <v>294</v>
      </c>
      <c r="B99" s="6" t="str">
        <f>HYPERLINK("http://www.ncbi.nlm.nih.gov/gene/104001", "104001")</f>
        <v>104001</v>
      </c>
      <c r="C99" s="6" t="str">
        <f>HYPERLINK("http://www.ncbi.nlm.nih.gov/gene/6252", "6252")</f>
        <v>6252</v>
      </c>
      <c r="D99" t="str">
        <f>"Rtn1"</f>
        <v>Rtn1</v>
      </c>
      <c r="E99" t="s">
        <v>295</v>
      </c>
      <c r="F99" t="s">
        <v>296</v>
      </c>
      <c r="H99" s="515">
        <v>1</v>
      </c>
      <c r="I99" s="129">
        <v>4.3896104874814599</v>
      </c>
      <c r="J99" s="175">
        <v>4.0940608274233501</v>
      </c>
      <c r="K99" s="312">
        <v>4.1861548375934499</v>
      </c>
      <c r="L99" s="1970">
        <v>5.0685239324068299</v>
      </c>
      <c r="M99" s="975">
        <v>5.1328663434212203</v>
      </c>
      <c r="N99" s="614">
        <v>5.3353752345135899</v>
      </c>
      <c r="O99" s="861">
        <v>5.2461499143815598</v>
      </c>
      <c r="P99" s="689">
        <v>5.4223745814106499</v>
      </c>
      <c r="Q99" s="1971">
        <v>5.0552685792658298</v>
      </c>
      <c r="R99" s="863">
        <v>4.0829795334808301</v>
      </c>
      <c r="S99" s="864">
        <v>4.2985476884540903</v>
      </c>
      <c r="T99" s="709">
        <v>4.2998279919726103</v>
      </c>
    </row>
    <row r="100" spans="1:20">
      <c r="A100" t="s">
        <v>297</v>
      </c>
      <c r="B100" s="6" t="str">
        <f>HYPERLINK("http://www.ncbi.nlm.nih.gov/gene/11438", "11438")</f>
        <v>11438</v>
      </c>
      <c r="C100" s="6" t="str">
        <f>HYPERLINK("http://www.ncbi.nlm.nih.gov/gene/1137", "1137")</f>
        <v>1137</v>
      </c>
      <c r="D100" t="str">
        <f>"Chrna4"</f>
        <v>Chrna4</v>
      </c>
      <c r="E100" t="s">
        <v>301</v>
      </c>
      <c r="F100" t="s">
        <v>311</v>
      </c>
      <c r="G100" t="s">
        <v>106</v>
      </c>
      <c r="H100" s="515">
        <v>1</v>
      </c>
      <c r="I100" s="122">
        <v>3.7176492593850399</v>
      </c>
      <c r="J100" s="361">
        <v>3.5725722370002102</v>
      </c>
      <c r="K100" s="215">
        <v>3.7321371090809201</v>
      </c>
      <c r="L100" s="1972">
        <v>5.2064650862075803</v>
      </c>
      <c r="M100" s="962">
        <v>4.8670016942441698</v>
      </c>
      <c r="N100" s="600">
        <v>4.1348185393828603</v>
      </c>
      <c r="O100" s="865">
        <v>5.2077067733574802</v>
      </c>
      <c r="P100" s="866">
        <v>4.9956005842849303</v>
      </c>
      <c r="Q100" s="1931">
        <v>5.1232350151199704</v>
      </c>
      <c r="R100" s="662">
        <v>4.0045255599930298</v>
      </c>
      <c r="S100" s="699">
        <v>4.1670996936257803</v>
      </c>
      <c r="T100" s="562">
        <v>3.9481403710139</v>
      </c>
    </row>
    <row r="101" spans="1:20">
      <c r="A101" t="s">
        <v>347</v>
      </c>
      <c r="B101" s="6" t="str">
        <f>HYPERLINK("http://www.ncbi.nlm.nih.gov/gene/17756", "17756")</f>
        <v>17756</v>
      </c>
      <c r="C101" s="6" t="str">
        <f>HYPERLINK("http://www.ncbi.nlm.nih.gov/gene/4133", "4133")</f>
        <v>4133</v>
      </c>
      <c r="D101" t="str">
        <f>"Mtap2"</f>
        <v>Mtap2</v>
      </c>
      <c r="E101" t="s">
        <v>348</v>
      </c>
      <c r="F101" t="s">
        <v>328</v>
      </c>
      <c r="H101" s="515">
        <v>1</v>
      </c>
      <c r="I101" s="273">
        <v>6.0688085680341102</v>
      </c>
      <c r="J101" s="253">
        <v>5.7811592253676398</v>
      </c>
      <c r="K101" s="306">
        <v>5.73654396731862</v>
      </c>
      <c r="L101" s="1973">
        <v>6.8434397017230904</v>
      </c>
      <c r="M101" s="889">
        <v>6.5922897707111696</v>
      </c>
      <c r="N101" s="1297">
        <v>6.5860309797974699</v>
      </c>
      <c r="O101" s="867">
        <v>7.3492541116451404</v>
      </c>
      <c r="P101" s="868">
        <v>7.4896645400961201</v>
      </c>
      <c r="Q101" s="1974">
        <v>7.0430934003382202</v>
      </c>
      <c r="R101" s="659">
        <v>6.1769699274688001</v>
      </c>
      <c r="S101" s="869">
        <v>6.3507712400550798</v>
      </c>
      <c r="T101" s="870">
        <v>5.8673912141465996</v>
      </c>
    </row>
    <row r="102" spans="1:20">
      <c r="A102" t="s">
        <v>329</v>
      </c>
      <c r="B102" s="6" t="str">
        <f>HYPERLINK("http://www.ncbi.nlm.nih.gov/gene/17748", "17748")</f>
        <v>17748</v>
      </c>
      <c r="C102" s="6" t="str">
        <f>HYPERLINK("http://www.ncbi.nlm.nih.gov/gene/", "")</f>
        <v/>
      </c>
      <c r="D102" t="str">
        <f>"Mt1"</f>
        <v>Mt1</v>
      </c>
      <c r="E102" t="s">
        <v>330</v>
      </c>
      <c r="F102" t="s">
        <v>321</v>
      </c>
      <c r="H102" s="515">
        <v>1</v>
      </c>
      <c r="I102" s="195">
        <v>8.2733655897176703</v>
      </c>
      <c r="J102" s="285">
        <v>8.0093556616356807</v>
      </c>
      <c r="K102" s="312">
        <v>8.2044233981773491</v>
      </c>
      <c r="L102" s="1975">
        <v>9.4075928025066897</v>
      </c>
      <c r="M102" s="639">
        <v>9.5215338017426507</v>
      </c>
      <c r="N102" s="1135">
        <v>9.4652160699321897</v>
      </c>
      <c r="O102" s="871">
        <v>9.2931716085189304</v>
      </c>
      <c r="P102" s="844">
        <v>9.1918153940108294</v>
      </c>
      <c r="Q102" s="1976">
        <v>8.9168278433176003</v>
      </c>
      <c r="R102" s="872">
        <v>8.2997014806748197</v>
      </c>
      <c r="S102" s="627">
        <v>8.5718812339002195</v>
      </c>
      <c r="T102" s="873">
        <v>8.2108401043278594</v>
      </c>
    </row>
    <row r="103" spans="1:20">
      <c r="A103" t="s">
        <v>322</v>
      </c>
      <c r="B103" s="6" t="str">
        <f>HYPERLINK("http://www.ncbi.nlm.nih.gov/gene/20515", "20515")</f>
        <v>20515</v>
      </c>
      <c r="C103" s="6" t="str">
        <f>HYPERLINK("http://www.ncbi.nlm.nih.gov/gene/6574", "6574")</f>
        <v>6574</v>
      </c>
      <c r="D103" t="str">
        <f>"Slc20a1"</f>
        <v>Slc20a1</v>
      </c>
      <c r="E103" t="s">
        <v>365</v>
      </c>
      <c r="F103" t="s">
        <v>357</v>
      </c>
      <c r="H103" s="515">
        <v>1</v>
      </c>
      <c r="I103" s="135">
        <v>6.4230735475171201</v>
      </c>
      <c r="J103" s="228">
        <v>6.2445574394443</v>
      </c>
      <c r="K103" s="195">
        <v>6.47810179763324</v>
      </c>
      <c r="L103" s="1977">
        <v>7.5887359535721197</v>
      </c>
      <c r="M103" s="1132">
        <v>7.6916470475659597</v>
      </c>
      <c r="N103" s="811">
        <v>7.8221912417968502</v>
      </c>
      <c r="O103" s="874">
        <v>7.2108354461060502</v>
      </c>
      <c r="P103" s="757">
        <v>7.2082042384865401</v>
      </c>
      <c r="Q103" s="1978">
        <v>7.2278093423225398</v>
      </c>
      <c r="R103" s="583">
        <v>6.6599211279799402</v>
      </c>
      <c r="S103" s="876">
        <v>6.5082360501891996</v>
      </c>
      <c r="T103" s="877">
        <v>6.5329519867889703</v>
      </c>
    </row>
    <row r="104" spans="1:20">
      <c r="A104" t="s">
        <v>358</v>
      </c>
      <c r="B104" s="6" t="str">
        <f>HYPERLINK("http://www.ncbi.nlm.nih.gov/gene/270097", "270097")</f>
        <v>270097</v>
      </c>
      <c r="C104" s="6" t="str">
        <f>HYPERLINK("http://www.ncbi.nlm.nih.gov/gene/57687", "57687")</f>
        <v>57687</v>
      </c>
      <c r="D104" t="str">
        <f>"Vat1l"</f>
        <v>Vat1l</v>
      </c>
      <c r="E104" t="s">
        <v>366</v>
      </c>
      <c r="F104" t="s">
        <v>367</v>
      </c>
      <c r="H104" s="515">
        <v>1</v>
      </c>
      <c r="I104" s="88">
        <v>3.9016862479039101</v>
      </c>
      <c r="J104" s="272">
        <v>3.5363514670164</v>
      </c>
      <c r="K104" s="260">
        <v>3.5730191325903702</v>
      </c>
      <c r="L104" s="1979">
        <v>5.2977702854377897</v>
      </c>
      <c r="M104" s="926">
        <v>4.89845404473248</v>
      </c>
      <c r="N104" s="679">
        <v>5.3300415092125801</v>
      </c>
      <c r="O104" s="878">
        <v>4.5906625653220701</v>
      </c>
      <c r="P104" s="844">
        <v>4.81189075285873</v>
      </c>
      <c r="Q104" s="1980">
        <v>4.2928077554769999</v>
      </c>
      <c r="R104" s="573">
        <v>3.9314771438587002</v>
      </c>
      <c r="S104" s="743">
        <v>4.2856925073622998</v>
      </c>
      <c r="T104" s="879">
        <v>3.8971689619597099</v>
      </c>
    </row>
    <row r="105" spans="1:20">
      <c r="A105" t="s">
        <v>368</v>
      </c>
      <c r="B105" s="6" t="str">
        <f>HYPERLINK("http://www.ncbi.nlm.nih.gov/gene/100862347", "100862347")</f>
        <v>100862347</v>
      </c>
      <c r="C105" s="6" t="str">
        <f>HYPERLINK("http://www.ncbi.nlm.nih.gov/gene/", "")</f>
        <v/>
      </c>
      <c r="D105" t="str">
        <f>"LOC100862347"</f>
        <v>LOC100862347</v>
      </c>
      <c r="E105" t="s">
        <v>369</v>
      </c>
      <c r="H105" s="515">
        <v>1</v>
      </c>
      <c r="I105" s="342">
        <v>2.4329833822671301</v>
      </c>
      <c r="J105" s="343">
        <v>2.3563037912982598</v>
      </c>
      <c r="K105" s="157">
        <v>2.6091499549816501</v>
      </c>
      <c r="L105" s="1981">
        <v>3.8469909540848</v>
      </c>
      <c r="M105" s="806">
        <v>3.49648348909122</v>
      </c>
      <c r="N105" s="602">
        <v>4.1943966169708196</v>
      </c>
      <c r="O105" s="880">
        <v>3.2986565710130402</v>
      </c>
      <c r="P105" s="881">
        <v>3.7604439568369998</v>
      </c>
      <c r="Q105" s="1982">
        <v>3.52740371960649</v>
      </c>
      <c r="R105" s="538">
        <v>2.8911727510049201</v>
      </c>
      <c r="S105" s="732">
        <v>3.3837215641600702</v>
      </c>
      <c r="T105" s="883">
        <v>2.9789356773945102</v>
      </c>
    </row>
    <row r="106" spans="1:20">
      <c r="A106" t="s">
        <v>370</v>
      </c>
      <c r="B106" s="6" t="str">
        <f>HYPERLINK("http://www.ncbi.nlm.nih.gov/gene/216616", "216616")</f>
        <v>216616</v>
      </c>
      <c r="C106" s="6" t="str">
        <f>HYPERLINK("http://www.ncbi.nlm.nih.gov/gene/2202", "2202")</f>
        <v>2202</v>
      </c>
      <c r="D106" t="str">
        <f>"Efemp1"</f>
        <v>Efemp1</v>
      </c>
      <c r="E106" t="s">
        <v>320</v>
      </c>
      <c r="F106" t="s">
        <v>344</v>
      </c>
      <c r="H106" s="515">
        <v>1</v>
      </c>
      <c r="I106" s="228">
        <v>4.1023295512953597</v>
      </c>
      <c r="J106" s="257">
        <v>4.1613674321305103</v>
      </c>
      <c r="K106" s="237">
        <v>4.3194551430552499</v>
      </c>
      <c r="L106" s="1983">
        <v>5.4726848206911001</v>
      </c>
      <c r="M106" s="1430">
        <v>5.1328882230611397</v>
      </c>
      <c r="N106" s="749">
        <v>5.4736886886103999</v>
      </c>
      <c r="O106" s="884">
        <v>5.1281921997647597</v>
      </c>
      <c r="P106" s="885">
        <v>5.37085328543189</v>
      </c>
      <c r="Q106" s="1984">
        <v>5.4577161993639596</v>
      </c>
      <c r="R106" s="703">
        <v>4.2285504352715098</v>
      </c>
      <c r="S106" s="670">
        <v>4.6732668041505798</v>
      </c>
      <c r="T106" s="568">
        <v>4.4653238278476701</v>
      </c>
    </row>
    <row r="107" spans="1:20">
      <c r="A107" t="s">
        <v>345</v>
      </c>
      <c r="B107" s="6" t="str">
        <f>HYPERLINK("http://www.ncbi.nlm.nih.gov/gene/12805", "12805")</f>
        <v>12805</v>
      </c>
      <c r="C107" s="6" t="str">
        <f>HYPERLINK("http://www.ncbi.nlm.nih.gov/gene/1272", "1272")</f>
        <v>1272</v>
      </c>
      <c r="D107" t="str">
        <f>"Cntn1"</f>
        <v>Cntn1</v>
      </c>
      <c r="E107" t="s">
        <v>346</v>
      </c>
      <c r="F107" t="s">
        <v>361</v>
      </c>
      <c r="G107" t="s">
        <v>362</v>
      </c>
      <c r="H107" s="515">
        <v>1</v>
      </c>
      <c r="I107" s="61">
        <v>4.4114599007941404</v>
      </c>
      <c r="J107" s="378">
        <v>3.7053066414651799</v>
      </c>
      <c r="K107" s="226">
        <v>4.1416775335099203</v>
      </c>
      <c r="L107" s="1985">
        <v>5.3252074618572101</v>
      </c>
      <c r="M107" s="947">
        <v>5.2146282665763799</v>
      </c>
      <c r="N107" s="728">
        <v>5.38465887025838</v>
      </c>
      <c r="O107" s="886">
        <v>4.9619000813848899</v>
      </c>
      <c r="P107" s="887">
        <v>4.89320211051177</v>
      </c>
      <c r="Q107" s="1986">
        <v>5.1215168568001799</v>
      </c>
      <c r="R107" s="680">
        <v>4.5095695942296699</v>
      </c>
      <c r="S107" s="572">
        <v>4.3727408979034097</v>
      </c>
      <c r="T107" s="740">
        <v>4.4163205205963898</v>
      </c>
    </row>
    <row r="108" spans="1:20">
      <c r="A108" t="s">
        <v>363</v>
      </c>
      <c r="B108" s="6" t="str">
        <f>HYPERLINK("http://www.ncbi.nlm.nih.gov/gene/14081", "14081")</f>
        <v>14081</v>
      </c>
      <c r="C108" s="6" t="str">
        <f>HYPERLINK("http://www.ncbi.nlm.nih.gov/gene/2180", "2180")</f>
        <v>2180</v>
      </c>
      <c r="D108" t="str">
        <f>"Acsl1"</f>
        <v>Acsl1</v>
      </c>
      <c r="E108" t="s">
        <v>364</v>
      </c>
      <c r="F108" t="s">
        <v>312</v>
      </c>
      <c r="G108" t="s">
        <v>334</v>
      </c>
      <c r="H108" s="515">
        <v>1</v>
      </c>
      <c r="I108" s="180">
        <v>5.0125100507880704</v>
      </c>
      <c r="J108" s="309">
        <v>4.7711518510166204</v>
      </c>
      <c r="K108" s="199">
        <v>5.1145060531232396</v>
      </c>
      <c r="L108" s="1987">
        <v>5.9499006578775804</v>
      </c>
      <c r="M108" s="926">
        <v>5.9493010071604404</v>
      </c>
      <c r="N108" s="762">
        <v>6.2097087348170001</v>
      </c>
      <c r="O108" s="717">
        <v>6.1190790408017097</v>
      </c>
      <c r="P108" s="889">
        <v>5.6090082491108699</v>
      </c>
      <c r="Q108" s="1988">
        <v>5.9407144340904798</v>
      </c>
      <c r="R108" s="891">
        <v>5.2234947089816899</v>
      </c>
      <c r="S108" s="892">
        <v>5.3364262865170202</v>
      </c>
      <c r="T108" s="893">
        <v>5.0785549128788103</v>
      </c>
    </row>
    <row r="109" spans="1:20">
      <c r="A109" t="s">
        <v>335</v>
      </c>
      <c r="B109" s="6" t="str">
        <f>HYPERLINK("http://www.ncbi.nlm.nih.gov/gene/110862", "110862")</f>
        <v>110862</v>
      </c>
      <c r="C109" s="6" t="str">
        <f>HYPERLINK("http://www.ncbi.nlm.nih.gov/gene/3786", "3786")</f>
        <v>3786</v>
      </c>
      <c r="D109" t="str">
        <f>"Kcnq3"</f>
        <v>Kcnq3</v>
      </c>
      <c r="E109" t="s">
        <v>336</v>
      </c>
      <c r="F109" t="s">
        <v>326</v>
      </c>
      <c r="H109" s="515">
        <v>1</v>
      </c>
      <c r="I109" s="342">
        <v>4.16895568351429</v>
      </c>
      <c r="J109" s="382">
        <v>3.8080397150397798</v>
      </c>
      <c r="K109" s="211">
        <v>4.1788766979093301</v>
      </c>
      <c r="L109" s="1989">
        <v>6.26164274708196</v>
      </c>
      <c r="M109" s="1140">
        <v>6.2969490508322696</v>
      </c>
      <c r="N109" s="1140">
        <v>6.2946060483186104</v>
      </c>
      <c r="O109" s="894">
        <v>5.83256369290251</v>
      </c>
      <c r="P109" s="895">
        <v>6.0659108123310501</v>
      </c>
      <c r="Q109" s="1982">
        <v>5.8357909441144296</v>
      </c>
      <c r="R109" s="778">
        <v>5.4850275466100502</v>
      </c>
      <c r="S109" s="854">
        <v>5.2661185572303104</v>
      </c>
      <c r="T109" s="716">
        <v>5.1248348576649896</v>
      </c>
    </row>
    <row r="110" spans="1:20">
      <c r="A110" t="s">
        <v>359</v>
      </c>
      <c r="B110" s="6" t="str">
        <f>HYPERLINK("http://www.ncbi.nlm.nih.gov/gene/215085", "215085")</f>
        <v>215085</v>
      </c>
      <c r="C110" s="6" t="str">
        <f>HYPERLINK("http://www.ncbi.nlm.nih.gov/gene/222553", "222553")</f>
        <v>222553</v>
      </c>
      <c r="D110" t="str">
        <f>"Slc35f1"</f>
        <v>Slc35f1</v>
      </c>
      <c r="E110" t="s">
        <v>360</v>
      </c>
      <c r="F110" t="s">
        <v>323</v>
      </c>
      <c r="H110" s="515">
        <v>1</v>
      </c>
      <c r="I110" s="384">
        <v>4.6514473801925202</v>
      </c>
      <c r="J110" s="382">
        <v>4.44136074181033</v>
      </c>
      <c r="K110" s="228">
        <v>4.7766939614608201</v>
      </c>
      <c r="L110" s="1970">
        <v>6.2310621594419704</v>
      </c>
      <c r="M110" s="844">
        <v>6.2796052956636101</v>
      </c>
      <c r="N110" s="1132">
        <v>6.7066313182060497</v>
      </c>
      <c r="O110" s="894">
        <v>6.1068275450828802</v>
      </c>
      <c r="P110" s="844">
        <v>6.2728039474745199</v>
      </c>
      <c r="Q110" s="1962">
        <v>6.2794752135107199</v>
      </c>
      <c r="R110" s="528">
        <v>5.69167346747109</v>
      </c>
      <c r="S110" s="645">
        <v>5.8318077620479096</v>
      </c>
      <c r="T110" s="633">
        <v>5.6225136194433398</v>
      </c>
    </row>
    <row r="111" spans="1:20">
      <c r="A111" t="s">
        <v>324</v>
      </c>
      <c r="B111" s="6" t="str">
        <f>HYPERLINK("http://www.ncbi.nlm.nih.gov/gene/70974", "70974")</f>
        <v>70974</v>
      </c>
      <c r="C111" s="6" t="str">
        <f>HYPERLINK("http://www.ncbi.nlm.nih.gov/gene/283209", "283209")</f>
        <v>283209</v>
      </c>
      <c r="D111" t="str">
        <f>"Pgm2l1"</f>
        <v>Pgm2l1</v>
      </c>
      <c r="E111" t="s">
        <v>325</v>
      </c>
      <c r="F111" t="s">
        <v>313</v>
      </c>
      <c r="G111" t="s">
        <v>314</v>
      </c>
      <c r="H111" s="515">
        <v>1</v>
      </c>
      <c r="I111" s="342">
        <v>5.66850298429405</v>
      </c>
      <c r="J111" s="263">
        <v>5.5290166485022896</v>
      </c>
      <c r="K111" s="327">
        <v>5.8510395859432398</v>
      </c>
      <c r="L111" s="1990">
        <v>7.3071840698581898</v>
      </c>
      <c r="M111" s="947">
        <v>7.2783807740036996</v>
      </c>
      <c r="N111" s="1041">
        <v>7.5933674289594899</v>
      </c>
      <c r="O111" s="896">
        <v>6.9554413159334496</v>
      </c>
      <c r="P111" s="882">
        <v>6.9537743357872497</v>
      </c>
      <c r="Q111" s="1962">
        <v>7.1053430582914396</v>
      </c>
      <c r="R111" s="595">
        <v>6.3161166358041703</v>
      </c>
      <c r="S111" s="655">
        <v>6.3616602319608697</v>
      </c>
      <c r="T111" s="897">
        <v>6.3494170374942804</v>
      </c>
    </row>
    <row r="112" spans="1:20">
      <c r="A112" t="s">
        <v>315</v>
      </c>
      <c r="B112" s="6" t="str">
        <f>HYPERLINK("http://www.ncbi.nlm.nih.gov/gene/433944", "433944")</f>
        <v>433944</v>
      </c>
      <c r="C112" s="6" t="str">
        <f>HYPERLINK("http://www.ncbi.nlm.nih.gov/gene/", "")</f>
        <v/>
      </c>
      <c r="D112" t="str">
        <f>"LOC433944"</f>
        <v>LOC433944</v>
      </c>
      <c r="E112" t="s">
        <v>316</v>
      </c>
      <c r="H112" s="515">
        <v>1</v>
      </c>
      <c r="I112" s="385">
        <v>4.05884630764091</v>
      </c>
      <c r="J112" s="386">
        <v>3.7639868511310799</v>
      </c>
      <c r="K112" s="327">
        <v>4.4007544038755304</v>
      </c>
      <c r="L112" s="1991">
        <v>7.32588659230652</v>
      </c>
      <c r="M112" s="618">
        <v>7.3939177889834502</v>
      </c>
      <c r="N112" s="769">
        <v>7.5914727616901096</v>
      </c>
      <c r="O112" s="898">
        <v>6.7483156696506397</v>
      </c>
      <c r="P112" s="899">
        <v>6.6998745967737197</v>
      </c>
      <c r="Q112" s="1992">
        <v>6.9718640845128004</v>
      </c>
      <c r="R112" s="572">
        <v>5.0409143413464799</v>
      </c>
      <c r="S112" s="694">
        <v>5.5640176754028703</v>
      </c>
      <c r="T112" s="721">
        <v>5.3694378296054897</v>
      </c>
    </row>
    <row r="113" spans="1:20">
      <c r="A113" t="s">
        <v>317</v>
      </c>
      <c r="B113" s="6" t="str">
        <f>HYPERLINK("http://www.ncbi.nlm.nih.gov/gene/15476", "15476")</f>
        <v>15476</v>
      </c>
      <c r="C113" s="6" t="str">
        <f>HYPERLINK("http://www.ncbi.nlm.nih.gov/gene/9957", "9957")</f>
        <v>9957</v>
      </c>
      <c r="D113" t="str">
        <f>"Hs3st1"</f>
        <v>Hs3st1</v>
      </c>
      <c r="E113" t="s">
        <v>318</v>
      </c>
      <c r="F113" t="s">
        <v>319</v>
      </c>
      <c r="G113" t="s">
        <v>327</v>
      </c>
      <c r="H113" s="515">
        <v>1</v>
      </c>
      <c r="I113" s="389">
        <v>5.56940320953212</v>
      </c>
      <c r="J113" s="214">
        <v>5.4959816462665199</v>
      </c>
      <c r="K113" s="390">
        <v>5.2738325859102497</v>
      </c>
      <c r="L113" s="1993">
        <v>6.6505278078720398</v>
      </c>
      <c r="M113" s="548">
        <v>6.8598400176978496</v>
      </c>
      <c r="N113" s="761">
        <v>7.0044777059531196</v>
      </c>
      <c r="O113" s="900">
        <v>6.3138923921343304</v>
      </c>
      <c r="P113" s="901">
        <v>6.5424824968005604</v>
      </c>
      <c r="Q113" s="1994">
        <v>6.8954862278673001</v>
      </c>
      <c r="R113" s="854">
        <v>6.1643450282300503</v>
      </c>
      <c r="S113" s="672">
        <v>6.1965531708350303</v>
      </c>
      <c r="T113" s="701">
        <v>5.9305364173228101</v>
      </c>
    </row>
    <row r="114" spans="1:20">
      <c r="A114" t="s">
        <v>342</v>
      </c>
      <c r="B114" s="6" t="str">
        <f>HYPERLINK("http://www.ncbi.nlm.nih.gov/gene/234267", "234267")</f>
        <v>234267</v>
      </c>
      <c r="C114" s="6" t="str">
        <f>HYPERLINK("http://www.ncbi.nlm.nih.gov/gene/2823", "2823")</f>
        <v>2823</v>
      </c>
      <c r="D114" t="str">
        <f>"Gpm6a"</f>
        <v>Gpm6a</v>
      </c>
      <c r="E114" t="s">
        <v>343</v>
      </c>
      <c r="F114" t="s">
        <v>340</v>
      </c>
      <c r="H114" s="515">
        <v>1</v>
      </c>
      <c r="I114" s="391">
        <v>3.8584287533291599</v>
      </c>
      <c r="J114" s="392">
        <v>3.5149015509609201</v>
      </c>
      <c r="K114" s="80">
        <v>4.2725927156717303</v>
      </c>
      <c r="L114" s="1995">
        <v>5.2272843878503901</v>
      </c>
      <c r="M114" s="946">
        <v>5.36714058631767</v>
      </c>
      <c r="N114" s="1082">
        <v>5.71558674584925</v>
      </c>
      <c r="O114" s="903">
        <v>5.5391482335788202</v>
      </c>
      <c r="P114" s="904">
        <v>5.7206235684464701</v>
      </c>
      <c r="Q114" s="1996">
        <v>5.3467621690063396</v>
      </c>
      <c r="R114" s="906">
        <v>4.7197707985768202</v>
      </c>
      <c r="S114" s="813">
        <v>5.1085632253411699</v>
      </c>
      <c r="T114" s="907">
        <v>4.6714146348557497</v>
      </c>
    </row>
    <row r="115" spans="1:20">
      <c r="A115" t="s">
        <v>341</v>
      </c>
      <c r="B115" s="6" t="str">
        <f>HYPERLINK("http://www.ncbi.nlm.nih.gov/gene/70335", "70335")</f>
        <v>70335</v>
      </c>
      <c r="C115" s="6" t="str">
        <f>HYPERLINK("http://www.ncbi.nlm.nih.gov/gene/92840", "92840")</f>
        <v>92840</v>
      </c>
      <c r="D115" t="str">
        <f>"Reep6"</f>
        <v>Reep6</v>
      </c>
      <c r="E115" t="s">
        <v>331</v>
      </c>
      <c r="F115" t="s">
        <v>332</v>
      </c>
      <c r="H115" s="515">
        <v>1</v>
      </c>
      <c r="I115" s="342">
        <v>5.5314539197499704</v>
      </c>
      <c r="J115" s="397">
        <v>5.2141233561283897</v>
      </c>
      <c r="K115" s="232">
        <v>5.6048720508989902</v>
      </c>
      <c r="L115" s="1993">
        <v>6.7695439400026398</v>
      </c>
      <c r="M115" s="930">
        <v>6.88560589342935</v>
      </c>
      <c r="N115" s="634">
        <v>6.9821712722020299</v>
      </c>
      <c r="O115" s="908">
        <v>6.9188396428817596</v>
      </c>
      <c r="P115" s="909">
        <v>6.74741719168565</v>
      </c>
      <c r="Q115" s="1997">
        <v>6.5759600640050397</v>
      </c>
      <c r="R115" s="910">
        <v>6.1994682712807903</v>
      </c>
      <c r="S115" s="796">
        <v>6.5244267003431604</v>
      </c>
      <c r="T115" s="780">
        <v>6.2387063428284399</v>
      </c>
    </row>
    <row r="116" spans="1:20">
      <c r="A116" t="s">
        <v>333</v>
      </c>
      <c r="B116" s="6" t="str">
        <f>HYPERLINK("http://www.ncbi.nlm.nih.gov/gene/74149", "74149")</f>
        <v>74149</v>
      </c>
      <c r="C116" s="6" t="str">
        <f>HYPERLINK("http://www.ncbi.nlm.nih.gov/gene/", "")</f>
        <v/>
      </c>
      <c r="D116" t="str">
        <f>"Zfp946"</f>
        <v>Zfp946</v>
      </c>
      <c r="E116" t="s">
        <v>349</v>
      </c>
      <c r="F116" t="s">
        <v>350</v>
      </c>
      <c r="H116" s="515">
        <v>1</v>
      </c>
      <c r="I116" s="399">
        <v>3.86827872309641</v>
      </c>
      <c r="J116" s="400">
        <v>3.8100699198436399</v>
      </c>
      <c r="K116" s="130">
        <v>4.4646636500733496</v>
      </c>
      <c r="L116" s="1998">
        <v>4.8942306841090302</v>
      </c>
      <c r="M116" s="670">
        <v>4.9365046287344798</v>
      </c>
      <c r="N116" s="966">
        <v>5.4311479610387199</v>
      </c>
      <c r="O116" s="911">
        <v>5.8415045290772598</v>
      </c>
      <c r="P116" s="912">
        <v>5.7668622996464496</v>
      </c>
      <c r="Q116" s="1926">
        <v>6.0891689284769397</v>
      </c>
      <c r="R116" s="913">
        <v>5.2097125110017997</v>
      </c>
      <c r="S116" s="542">
        <v>5.9736108183744099</v>
      </c>
      <c r="T116" s="914">
        <v>5.6255020405230098</v>
      </c>
    </row>
    <row r="117" spans="1:20">
      <c r="A117" t="s">
        <v>351</v>
      </c>
      <c r="B117" s="6" t="str">
        <f>HYPERLINK("http://www.ncbi.nlm.nih.gov/gene/72511", "72511")</f>
        <v>72511</v>
      </c>
      <c r="C117" s="6" t="str">
        <f>HYPERLINK("http://www.ncbi.nlm.nih.gov/gene/", "")</f>
        <v/>
      </c>
      <c r="D117" t="str">
        <f>"2610316D01Rik"</f>
        <v>2610316D01Rik</v>
      </c>
      <c r="E117" t="s">
        <v>352</v>
      </c>
      <c r="F117" t="s">
        <v>90</v>
      </c>
      <c r="H117" s="515">
        <v>1</v>
      </c>
      <c r="I117" s="257">
        <v>3.9013710554260399</v>
      </c>
      <c r="J117" s="404">
        <v>3.30264993464912</v>
      </c>
      <c r="K117" s="405">
        <v>3.83904905229591</v>
      </c>
      <c r="L117" s="1999">
        <v>4.9009948783310202</v>
      </c>
      <c r="M117" s="1251">
        <v>4.9520256175369504</v>
      </c>
      <c r="N117" s="945">
        <v>5.4831068165798902</v>
      </c>
      <c r="O117" s="915">
        <v>5.6111366151689603</v>
      </c>
      <c r="P117" s="888">
        <v>5.5268594699546698</v>
      </c>
      <c r="Q117" s="1932">
        <v>6.0424858548101099</v>
      </c>
      <c r="R117" s="705">
        <v>4.7291238590056404</v>
      </c>
      <c r="S117" s="916">
        <v>5.0599749023319696</v>
      </c>
      <c r="T117" s="808">
        <v>5.1961690775237903</v>
      </c>
    </row>
    <row r="118" spans="1:20">
      <c r="A118" t="s">
        <v>353</v>
      </c>
      <c r="B118" s="6" t="str">
        <f>HYPERLINK("http://www.ncbi.nlm.nih.gov/gene/100993", "100993")</f>
        <v>100993</v>
      </c>
      <c r="C118" s="6" t="str">
        <f>HYPERLINK("http://www.ncbi.nlm.nih.gov/gene/", "")</f>
        <v/>
      </c>
      <c r="D118" t="str">
        <f>"AW549542"</f>
        <v>AW549542</v>
      </c>
      <c r="E118" t="s">
        <v>354</v>
      </c>
      <c r="H118" s="515">
        <v>1</v>
      </c>
      <c r="I118" s="407">
        <v>4.2151463798661499</v>
      </c>
      <c r="J118" s="400">
        <v>3.98935899514793</v>
      </c>
      <c r="K118" s="289">
        <v>4.6280966471092997</v>
      </c>
      <c r="L118" s="2000">
        <v>7.2480550053336801</v>
      </c>
      <c r="M118" s="820">
        <v>7.4365794474665003</v>
      </c>
      <c r="N118" s="796">
        <v>7.2590957419684301</v>
      </c>
      <c r="O118" s="917">
        <v>8.3777224141511706</v>
      </c>
      <c r="P118" s="918">
        <v>8.3902724758460199</v>
      </c>
      <c r="Q118" s="2001">
        <v>8.70397204220302</v>
      </c>
      <c r="R118" s="920">
        <v>6.98807488947197</v>
      </c>
      <c r="S118" s="751">
        <v>6.8774087667415396</v>
      </c>
      <c r="T118" s="921">
        <v>7.2893539792323496</v>
      </c>
    </row>
    <row r="119" spans="1:20">
      <c r="A119" t="s">
        <v>355</v>
      </c>
      <c r="B119" s="6" t="str">
        <f>HYPERLINK("http://www.ncbi.nlm.nih.gov/gene/18526", "18526")</f>
        <v>18526</v>
      </c>
      <c r="C119" s="6" t="str">
        <f>HYPERLINK("http://www.ncbi.nlm.nih.gov/gene/57575", "57575")</f>
        <v>57575</v>
      </c>
      <c r="D119" t="str">
        <f>"Pcdh10"</f>
        <v>Pcdh10</v>
      </c>
      <c r="E119" t="s">
        <v>356</v>
      </c>
      <c r="F119" t="s">
        <v>337</v>
      </c>
      <c r="H119" s="515">
        <v>1</v>
      </c>
      <c r="I119" s="409">
        <v>4.35033397465478</v>
      </c>
      <c r="J119" s="410">
        <v>3.8911782211121801</v>
      </c>
      <c r="K119" s="411">
        <v>3.9327532939464702</v>
      </c>
      <c r="L119" s="2002">
        <v>5.8116084315869498</v>
      </c>
      <c r="M119" s="813">
        <v>5.8579562753459999</v>
      </c>
      <c r="N119" s="887">
        <v>5.9500005048399096</v>
      </c>
      <c r="O119" s="922">
        <v>6.1555055486720098</v>
      </c>
      <c r="P119" s="895">
        <v>6.34339472334565</v>
      </c>
      <c r="Q119" s="2003">
        <v>6.42599195881309</v>
      </c>
      <c r="R119" s="842">
        <v>6.2363777492174801</v>
      </c>
      <c r="S119" s="924">
        <v>6.1931899379656699</v>
      </c>
      <c r="T119" s="914">
        <v>6.1812406184610396</v>
      </c>
    </row>
    <row r="120" spans="1:20">
      <c r="A120" t="s">
        <v>338</v>
      </c>
      <c r="B120" s="6" t="str">
        <f>HYPERLINK("http://www.ncbi.nlm.nih.gov/gene/21386", "21386")</f>
        <v>21386</v>
      </c>
      <c r="C120" s="6" t="str">
        <f>HYPERLINK("http://www.ncbi.nlm.nih.gov/gene/6926", "6926")</f>
        <v>6926</v>
      </c>
      <c r="D120" t="str">
        <f>"Tbx3"</f>
        <v>Tbx3</v>
      </c>
      <c r="E120" t="s">
        <v>339</v>
      </c>
      <c r="F120" t="s">
        <v>371</v>
      </c>
      <c r="H120" s="515">
        <v>1</v>
      </c>
      <c r="I120" s="407">
        <v>5.9930697006116898</v>
      </c>
      <c r="J120" s="410">
        <v>5.7200731115267001</v>
      </c>
      <c r="K120" s="265">
        <v>6.2265266874001499</v>
      </c>
      <c r="L120" s="2004">
        <v>8.0565497018698604</v>
      </c>
      <c r="M120" s="778">
        <v>8.1343321452450592</v>
      </c>
      <c r="N120" s="950">
        <v>8.3890877418606298</v>
      </c>
      <c r="O120" s="925">
        <v>9.0131678598067797</v>
      </c>
      <c r="P120" s="926">
        <v>9.0845161212798509</v>
      </c>
      <c r="Q120" s="2005">
        <v>9.1507791705875103</v>
      </c>
      <c r="R120" s="842">
        <v>8.8225608068325307</v>
      </c>
      <c r="S120" s="928">
        <v>8.6637909996687004</v>
      </c>
      <c r="T120" s="929">
        <v>8.6769041548549595</v>
      </c>
    </row>
    <row r="121" spans="1:20">
      <c r="A121" t="s">
        <v>391</v>
      </c>
      <c r="B121" s="6" t="str">
        <f>HYPERLINK("http://www.ncbi.nlm.nih.gov/gene/108012", "108012")</f>
        <v>108012</v>
      </c>
      <c r="C121" s="6" t="str">
        <f>HYPERLINK("http://www.ncbi.nlm.nih.gov/gene/8905", "8905")</f>
        <v>8905</v>
      </c>
      <c r="D121" t="str">
        <f>"Ap1s2"</f>
        <v>Ap1s2</v>
      </c>
      <c r="E121" t="s">
        <v>392</v>
      </c>
      <c r="F121" t="s">
        <v>372</v>
      </c>
      <c r="G121" t="s">
        <v>373</v>
      </c>
      <c r="H121" s="515">
        <v>1</v>
      </c>
      <c r="I121" s="386">
        <v>5.5021761485825804</v>
      </c>
      <c r="J121" s="392">
        <v>5.2755707369006997</v>
      </c>
      <c r="K121" s="252">
        <v>5.6996832500164301</v>
      </c>
      <c r="L121" s="2006">
        <v>6.4150611742665999</v>
      </c>
      <c r="M121" s="778">
        <v>6.4889303005160297</v>
      </c>
      <c r="N121" s="758">
        <v>6.7095294454279104</v>
      </c>
      <c r="O121" s="896">
        <v>6.7216561015155598</v>
      </c>
      <c r="P121" s="844">
        <v>6.84571242468144</v>
      </c>
      <c r="Q121" s="2007">
        <v>6.9464976095770803</v>
      </c>
      <c r="R121" s="887">
        <v>6.6310551152673396</v>
      </c>
      <c r="S121" s="931">
        <v>6.9115509319261896</v>
      </c>
      <c r="T121" s="932">
        <v>6.9098877804277903</v>
      </c>
    </row>
    <row r="122" spans="1:20">
      <c r="A122" t="s">
        <v>374</v>
      </c>
      <c r="B122" s="6" t="str">
        <f>HYPERLINK("http://www.ncbi.nlm.nih.gov/gene/279706", "279706")</f>
        <v>279706</v>
      </c>
      <c r="C122" s="6" t="str">
        <f>HYPERLINK("http://www.ncbi.nlm.nih.gov/gene/", "")</f>
        <v/>
      </c>
      <c r="D122" t="str">
        <f>"Nup62cl"</f>
        <v>Nup62cl</v>
      </c>
      <c r="E122" t="s">
        <v>375</v>
      </c>
      <c r="F122" t="s">
        <v>90</v>
      </c>
      <c r="H122" s="515">
        <v>1</v>
      </c>
      <c r="I122" s="399">
        <v>3.11643217580218</v>
      </c>
      <c r="J122" s="415">
        <v>3.01734544691781</v>
      </c>
      <c r="K122" s="416">
        <v>3.2566801546433801</v>
      </c>
      <c r="L122" s="2008">
        <v>5.1982687309989402</v>
      </c>
      <c r="M122" s="1452">
        <v>5.1681113514754697</v>
      </c>
      <c r="N122" s="757">
        <v>5.1653646541348399</v>
      </c>
      <c r="O122" s="903">
        <v>5.5713287454415896</v>
      </c>
      <c r="P122" s="763">
        <v>5.09510202160675</v>
      </c>
      <c r="Q122" s="1997">
        <v>5.1104110950183497</v>
      </c>
      <c r="R122" s="933">
        <v>5.4012076046666904</v>
      </c>
      <c r="S122" s="934">
        <v>5.5421035506056802</v>
      </c>
      <c r="T122" s="935">
        <v>5.2057327881583602</v>
      </c>
    </row>
    <row r="123" spans="1:20">
      <c r="A123" t="s">
        <v>376</v>
      </c>
      <c r="B123" s="6" t="str">
        <f>HYPERLINK("http://www.ncbi.nlm.nih.gov/gene/652925", "652925")</f>
        <v>652925</v>
      </c>
      <c r="C123" s="6" t="str">
        <f>HYPERLINK("http://www.ncbi.nlm.nih.gov/gene/79161", "79161")</f>
        <v>79161</v>
      </c>
      <c r="D123" t="str">
        <f>"4930420K17Rik"</f>
        <v>4930420K17Rik</v>
      </c>
      <c r="E123" t="s">
        <v>377</v>
      </c>
      <c r="F123" t="s">
        <v>90</v>
      </c>
      <c r="H123" s="515">
        <v>1</v>
      </c>
      <c r="I123" s="220">
        <v>4.7116234564187902</v>
      </c>
      <c r="J123" s="378">
        <v>4.4832360097690502</v>
      </c>
      <c r="K123" s="384">
        <v>4.7140523183216203</v>
      </c>
      <c r="L123" s="2009">
        <v>5.6910308265431899</v>
      </c>
      <c r="M123" s="973">
        <v>5.8930389737251501</v>
      </c>
      <c r="N123" s="824">
        <v>5.7047746919900097</v>
      </c>
      <c r="O123" s="936">
        <v>5.7301481873110998</v>
      </c>
      <c r="P123" s="937">
        <v>5.8089421176535696</v>
      </c>
      <c r="Q123" s="2010">
        <v>5.96948936791292</v>
      </c>
      <c r="R123" s="939">
        <v>5.6491903271963704</v>
      </c>
      <c r="S123" s="912">
        <v>5.91118350344418</v>
      </c>
      <c r="T123" s="940">
        <v>5.7464776450504997</v>
      </c>
    </row>
    <row r="124" spans="1:20">
      <c r="A124" t="s">
        <v>378</v>
      </c>
      <c r="B124" s="6" t="str">
        <f>HYPERLINK("http://www.ncbi.nlm.nih.gov/gene/100502925", "100502925")</f>
        <v>100502925</v>
      </c>
      <c r="C124" s="6" t="str">
        <f>HYPERLINK("http://www.ncbi.nlm.nih.gov/gene/", "")</f>
        <v/>
      </c>
      <c r="D124" t="str">
        <f>"Gm19456"</f>
        <v>Gm19456</v>
      </c>
      <c r="E124" t="s">
        <v>379</v>
      </c>
      <c r="H124" s="515">
        <v>1</v>
      </c>
      <c r="I124" s="423">
        <v>5.0399308228667303</v>
      </c>
      <c r="J124" s="424">
        <v>4.9278830941992497</v>
      </c>
      <c r="K124" s="415">
        <v>4.86525699332255</v>
      </c>
      <c r="L124" s="2011">
        <v>6.1241507274615596</v>
      </c>
      <c r="M124" s="788">
        <v>5.8473947926749599</v>
      </c>
      <c r="N124" s="1305">
        <v>5.9318948701753902</v>
      </c>
      <c r="O124" s="941">
        <v>5.9147407896935098</v>
      </c>
      <c r="P124" s="938">
        <v>6.1904711159022501</v>
      </c>
      <c r="Q124" s="1978">
        <v>5.9814871374314</v>
      </c>
      <c r="R124" s="942">
        <v>5.7979189297296303</v>
      </c>
      <c r="S124" s="885">
        <v>6.2290913301248203</v>
      </c>
      <c r="T124" s="943">
        <v>6.1073847461630999</v>
      </c>
    </row>
    <row r="125" spans="1:20">
      <c r="A125" t="s">
        <v>380</v>
      </c>
      <c r="B125" s="6" t="str">
        <f>HYPERLINK("http://www.ncbi.nlm.nih.gov/gene/17863", "17863")</f>
        <v>17863</v>
      </c>
      <c r="C125" s="6" t="str">
        <f>HYPERLINK("http://www.ncbi.nlm.nih.gov/gene/4602", "4602")</f>
        <v>4602</v>
      </c>
      <c r="D125" t="str">
        <f>"Myb"</f>
        <v>Myb</v>
      </c>
      <c r="E125" t="s">
        <v>381</v>
      </c>
      <c r="F125" t="s">
        <v>382</v>
      </c>
      <c r="H125" s="515">
        <v>1</v>
      </c>
      <c r="I125" s="428">
        <v>3.0115306953316701</v>
      </c>
      <c r="J125" s="429">
        <v>3.1028897124609598</v>
      </c>
      <c r="K125" s="430">
        <v>2.9511379816502501</v>
      </c>
      <c r="L125" s="1995">
        <v>4.2649546017512501</v>
      </c>
      <c r="M125" s="788">
        <v>4.12869271301079</v>
      </c>
      <c r="N125" s="770">
        <v>4.2433265049963298</v>
      </c>
      <c r="O125" s="944">
        <v>4.3191145625581298</v>
      </c>
      <c r="P125" s="945">
        <v>4.4600370723898104</v>
      </c>
      <c r="Q125" s="2012">
        <v>4.1618799378259599</v>
      </c>
      <c r="R125" s="946">
        <v>4.3850974773979301</v>
      </c>
      <c r="S125" s="947">
        <v>4.60431264699724</v>
      </c>
      <c r="T125" s="948">
        <v>4.4575083302085599</v>
      </c>
    </row>
    <row r="126" spans="1:20">
      <c r="A126" t="s">
        <v>383</v>
      </c>
      <c r="B126" s="6" t="str">
        <f>HYPERLINK("http://www.ncbi.nlm.nih.gov/gene/18039", "18039")</f>
        <v>18039</v>
      </c>
      <c r="C126" s="6" t="str">
        <f>HYPERLINK("http://www.ncbi.nlm.nih.gov/gene/4747", "4747")</f>
        <v>4747</v>
      </c>
      <c r="D126" t="str">
        <f>"Nefl"</f>
        <v>Nefl</v>
      </c>
      <c r="E126" t="s">
        <v>406</v>
      </c>
      <c r="F126" t="s">
        <v>384</v>
      </c>
      <c r="G126" t="s">
        <v>385</v>
      </c>
      <c r="H126" s="515">
        <v>1</v>
      </c>
      <c r="I126" s="432">
        <v>3.8260062191148898</v>
      </c>
      <c r="J126" s="433">
        <v>3.9524103873545302</v>
      </c>
      <c r="K126" s="342">
        <v>4.1445252243024502</v>
      </c>
      <c r="L126" s="2013">
        <v>5.2258653938418798</v>
      </c>
      <c r="M126" s="955">
        <v>5.5124373316772504</v>
      </c>
      <c r="N126" s="820">
        <v>5.5106428124414597</v>
      </c>
      <c r="O126" s="949">
        <v>5.4867955364433296</v>
      </c>
      <c r="P126" s="950">
        <v>5.4382067314577203</v>
      </c>
      <c r="Q126" s="2014">
        <v>5.6950514948552398</v>
      </c>
      <c r="R126" s="952">
        <v>5.6760866531735701</v>
      </c>
      <c r="S126" s="904">
        <v>6.0463596559825303</v>
      </c>
      <c r="T126" s="953">
        <v>5.8523190702269803</v>
      </c>
    </row>
    <row r="127" spans="1:20">
      <c r="A127" t="s">
        <v>386</v>
      </c>
      <c r="B127" s="6" t="str">
        <f>HYPERLINK("http://www.ncbi.nlm.nih.gov/gene/54156", "54156")</f>
        <v>54156</v>
      </c>
      <c r="C127" s="6" t="str">
        <f>HYPERLINK("http://www.ncbi.nlm.nih.gov/gene/25975", "25975")</f>
        <v>25975</v>
      </c>
      <c r="D127" t="str">
        <f>"Egfl6"</f>
        <v>Egfl6</v>
      </c>
      <c r="E127" t="s">
        <v>387</v>
      </c>
      <c r="F127" t="s">
        <v>388</v>
      </c>
      <c r="H127" s="515">
        <v>1</v>
      </c>
      <c r="I127" s="410">
        <v>3.78519183570097</v>
      </c>
      <c r="J127" s="436">
        <v>4.1435788781466103</v>
      </c>
      <c r="K127" s="391">
        <v>4.26899579654006</v>
      </c>
      <c r="L127" s="2015">
        <v>6.6964358326315496</v>
      </c>
      <c r="M127" s="1532">
        <v>6.8978558082634303</v>
      </c>
      <c r="N127" s="819">
        <v>7.0894050528806698</v>
      </c>
      <c r="O127" s="954">
        <v>6.9341972848242097</v>
      </c>
      <c r="P127" s="955">
        <v>7.0413962935315197</v>
      </c>
      <c r="Q127" s="2016">
        <v>7.2387195514821796</v>
      </c>
      <c r="R127" s="946">
        <v>7.33572928629202</v>
      </c>
      <c r="S127" s="634">
        <v>7.9914152125845597</v>
      </c>
      <c r="T127" s="957">
        <v>7.76028487773055</v>
      </c>
    </row>
    <row r="128" spans="1:20">
      <c r="A128" t="s">
        <v>389</v>
      </c>
      <c r="B128" s="6" t="str">
        <f>HYPERLINK("http://www.ncbi.nlm.nih.gov/gene/218820", "218820")</f>
        <v>218820</v>
      </c>
      <c r="C128" s="6" t="str">
        <f>HYPERLINK("http://www.ncbi.nlm.nih.gov/gene/84858", "84858")</f>
        <v>84858</v>
      </c>
      <c r="D128" t="str">
        <f>"Zfp503"</f>
        <v>Zfp503</v>
      </c>
      <c r="E128" t="s">
        <v>390</v>
      </c>
      <c r="F128" t="s">
        <v>413</v>
      </c>
      <c r="H128" s="515">
        <v>1</v>
      </c>
      <c r="I128" s="384">
        <v>6.1642251496735296</v>
      </c>
      <c r="J128" s="439">
        <v>6.0711727010233396</v>
      </c>
      <c r="K128" s="440">
        <v>6.11708415113611</v>
      </c>
      <c r="L128" s="2017">
        <v>7.3700187603608303</v>
      </c>
      <c r="M128" s="849">
        <v>7.2752234941538001</v>
      </c>
      <c r="N128" s="942">
        <v>7.4779311835325002</v>
      </c>
      <c r="O128" s="886">
        <v>7.7954237686038903</v>
      </c>
      <c r="P128" s="842">
        <v>7.93785634156567</v>
      </c>
      <c r="Q128" s="2018">
        <v>7.9084836395199698</v>
      </c>
      <c r="R128" s="771">
        <v>7.98120115307914</v>
      </c>
      <c r="S128" s="958">
        <v>8.3340701438356195</v>
      </c>
      <c r="T128" s="959">
        <v>8.2562818442271499</v>
      </c>
    </row>
    <row r="129" spans="1:20">
      <c r="A129" t="s">
        <v>414</v>
      </c>
      <c r="B129" s="6" t="str">
        <f>HYPERLINK("http://www.ncbi.nlm.nih.gov/gene/67149", "67149")</f>
        <v>67149</v>
      </c>
      <c r="C129" s="6" t="str">
        <f>HYPERLINK("http://www.ncbi.nlm.nih.gov/gene/79570", "79570")</f>
        <v>79570</v>
      </c>
      <c r="D129" t="str">
        <f>"Nkain1"</f>
        <v>Nkain1</v>
      </c>
      <c r="E129" t="s">
        <v>415</v>
      </c>
      <c r="F129" t="s">
        <v>416</v>
      </c>
      <c r="H129" s="515">
        <v>1</v>
      </c>
      <c r="I129" s="228">
        <v>6.6611880668369601</v>
      </c>
      <c r="J129" s="442">
        <v>6.2194389133681796</v>
      </c>
      <c r="K129" s="309">
        <v>6.4778741814923597</v>
      </c>
      <c r="L129" s="2019">
        <v>7.6679437047398498</v>
      </c>
      <c r="M129" s="778">
        <v>7.7760632658732902</v>
      </c>
      <c r="N129" s="1251">
        <v>7.7575643087381199</v>
      </c>
      <c r="O129" s="960">
        <v>8.1393834557539808</v>
      </c>
      <c r="P129" s="842">
        <v>8.2006453992607007</v>
      </c>
      <c r="Q129" s="2020">
        <v>8.1543764924500106</v>
      </c>
      <c r="R129" s="962">
        <v>8.27752734234938</v>
      </c>
      <c r="S129" s="963">
        <v>8.4351300263748303</v>
      </c>
      <c r="T129" s="964">
        <v>8.4562305247813807</v>
      </c>
    </row>
    <row r="130" spans="1:20">
      <c r="A130" t="s">
        <v>417</v>
      </c>
      <c r="B130" s="6" t="str">
        <f>HYPERLINK("http://www.ncbi.nlm.nih.gov/gene/66569", "66569")</f>
        <v>66569</v>
      </c>
      <c r="C130" s="6" t="str">
        <f>HYPERLINK("http://www.ncbi.nlm.nih.gov/gene/284161", "284161")</f>
        <v>284161</v>
      </c>
      <c r="D130" t="str">
        <f>"Gdpd1"</f>
        <v>Gdpd1</v>
      </c>
      <c r="E130" t="s">
        <v>418</v>
      </c>
      <c r="F130" t="s">
        <v>399</v>
      </c>
      <c r="H130" s="515">
        <v>1</v>
      </c>
      <c r="I130" s="342">
        <v>5.9880986481369201</v>
      </c>
      <c r="J130" s="443">
        <v>5.7442262990314603</v>
      </c>
      <c r="K130" s="444">
        <v>5.89375425115621</v>
      </c>
      <c r="L130" s="2021">
        <v>6.9290547887859502</v>
      </c>
      <c r="M130" s="887">
        <v>6.9426369104775398</v>
      </c>
      <c r="N130" s="887">
        <v>6.9445643745748704</v>
      </c>
      <c r="O130" s="965">
        <v>6.8292786715239897</v>
      </c>
      <c r="P130" s="813">
        <v>6.8857844269772297</v>
      </c>
      <c r="Q130" s="2022">
        <v>6.9375909027608902</v>
      </c>
      <c r="R130" s="967">
        <v>7.2650345415070996</v>
      </c>
      <c r="S130" s="634">
        <v>7.3310106835113702</v>
      </c>
      <c r="T130" s="968">
        <v>7.2675284063029997</v>
      </c>
    </row>
    <row r="131" spans="1:20">
      <c r="A131" t="s">
        <v>400</v>
      </c>
      <c r="B131" s="6" t="str">
        <f>HYPERLINK("http://www.ncbi.nlm.nih.gov/gene/67874", "67874")</f>
        <v>67874</v>
      </c>
      <c r="C131" s="6" t="str">
        <f>HYPERLINK("http://www.ncbi.nlm.nih.gov/gene/56475", "56475")</f>
        <v>56475</v>
      </c>
      <c r="D131" t="str">
        <f>"Rprm"</f>
        <v>Rprm</v>
      </c>
      <c r="E131" t="s">
        <v>401</v>
      </c>
      <c r="F131" t="s">
        <v>402</v>
      </c>
      <c r="G131" t="s">
        <v>403</v>
      </c>
      <c r="H131" s="515">
        <v>1</v>
      </c>
      <c r="I131" s="423">
        <v>6.8849542980345104</v>
      </c>
      <c r="J131" s="446">
        <v>6.5004869242135603</v>
      </c>
      <c r="K131" s="289">
        <v>6.92953479853169</v>
      </c>
      <c r="L131" s="2023">
        <v>8.0225716507011402</v>
      </c>
      <c r="M131" s="887">
        <v>7.9700135384699102</v>
      </c>
      <c r="N131" s="916">
        <v>7.8903491161041703</v>
      </c>
      <c r="O131" s="969">
        <v>7.8769244716139601</v>
      </c>
      <c r="P131" s="757">
        <v>8.0178074657266194</v>
      </c>
      <c r="Q131" s="1978">
        <v>8.0380887928700009</v>
      </c>
      <c r="R131" s="848">
        <v>8.3046356343499408</v>
      </c>
      <c r="S131" s="970">
        <v>8.2487298084593501</v>
      </c>
      <c r="T131" s="971">
        <v>8.3230760972393298</v>
      </c>
    </row>
    <row r="132" spans="1:20">
      <c r="A132" t="s">
        <v>404</v>
      </c>
      <c r="B132" s="6" t="str">
        <f>HYPERLINK("http://www.ncbi.nlm.nih.gov/gene/14630", "14630")</f>
        <v>14630</v>
      </c>
      <c r="C132" s="6" t="str">
        <f>HYPERLINK("http://www.ncbi.nlm.nih.gov/gene/2730", "2730")</f>
        <v>2730</v>
      </c>
      <c r="D132" t="str">
        <f>"Gclm"</f>
        <v>Gclm</v>
      </c>
      <c r="E132" t="s">
        <v>405</v>
      </c>
      <c r="F132" t="s">
        <v>393</v>
      </c>
      <c r="G132" t="s">
        <v>394</v>
      </c>
      <c r="H132" s="515">
        <v>1</v>
      </c>
      <c r="I132" s="228">
        <v>4.9495034910453599</v>
      </c>
      <c r="J132" s="446">
        <v>4.5493345077562202</v>
      </c>
      <c r="K132" s="449">
        <v>4.9101469893819898</v>
      </c>
      <c r="L132" s="2024">
        <v>5.9572848392711197</v>
      </c>
      <c r="M132" s="916">
        <v>5.7962431932619403</v>
      </c>
      <c r="N132" s="732">
        <v>5.82135436040166</v>
      </c>
      <c r="O132" s="941">
        <v>5.86301729326577</v>
      </c>
      <c r="P132" s="966">
        <v>5.87010268620707</v>
      </c>
      <c r="Q132" s="2025">
        <v>5.9699607550786604</v>
      </c>
      <c r="R132" s="801">
        <v>5.9527513684413398</v>
      </c>
      <c r="S132" s="742">
        <v>6.3431549354084602</v>
      </c>
      <c r="T132" s="972">
        <v>6.1407784997069896</v>
      </c>
    </row>
    <row r="133" spans="1:20">
      <c r="A133" t="s">
        <v>395</v>
      </c>
      <c r="B133" s="6" t="str">
        <f>HYPERLINK("http://www.ncbi.nlm.nih.gov/gene/100503676", "100503676")</f>
        <v>100503676</v>
      </c>
      <c r="C133" s="6" t="str">
        <f>HYPERLINK("http://www.ncbi.nlm.nih.gov/gene/", "")</f>
        <v/>
      </c>
      <c r="D133" t="str">
        <f>"LOC100503676"</f>
        <v>LOC100503676</v>
      </c>
      <c r="E133" t="s">
        <v>410</v>
      </c>
      <c r="H133" s="515">
        <v>1</v>
      </c>
      <c r="I133" s="43">
        <v>4.85230605420172</v>
      </c>
      <c r="J133" s="446">
        <v>3.6389696535862601</v>
      </c>
      <c r="K133" s="450">
        <v>3.9860608163149802</v>
      </c>
      <c r="L133" s="2026">
        <v>5.4200607334826199</v>
      </c>
      <c r="M133" s="1401">
        <v>5.5675245609438599</v>
      </c>
      <c r="N133" s="942">
        <v>5.5851622627228004</v>
      </c>
      <c r="O133" s="960">
        <v>6.0061290188747103</v>
      </c>
      <c r="P133" s="973">
        <v>6.1422741990373702</v>
      </c>
      <c r="Q133" s="2027">
        <v>6.3507230924598002</v>
      </c>
      <c r="R133" s="974">
        <v>6.08698314124742</v>
      </c>
      <c r="S133" s="975">
        <v>6.1844395015650404</v>
      </c>
      <c r="T133" s="776">
        <v>6.0794396407772098</v>
      </c>
    </row>
    <row r="134" spans="1:20">
      <c r="A134" t="s">
        <v>411</v>
      </c>
      <c r="B134" s="6" t="str">
        <f>HYPERLINK("http://www.ncbi.nlm.nih.gov/gene/58802", "58802")</f>
        <v>58802</v>
      </c>
      <c r="C134" s="6" t="str">
        <f>HYPERLINK("http://www.ncbi.nlm.nih.gov/gene/27345", "27345")</f>
        <v>27345</v>
      </c>
      <c r="D134" t="str">
        <f>"Kcnmb4"</f>
        <v>Kcnmb4</v>
      </c>
      <c r="E134" t="s">
        <v>412</v>
      </c>
      <c r="F134" t="s">
        <v>396</v>
      </c>
      <c r="G134" t="s">
        <v>159</v>
      </c>
      <c r="H134" s="515">
        <v>1</v>
      </c>
      <c r="I134" s="449">
        <v>4.8270226085820402</v>
      </c>
      <c r="J134" s="436">
        <v>4.6459470782008196</v>
      </c>
      <c r="K134" s="278">
        <v>4.7464975710315196</v>
      </c>
      <c r="L134" s="2028">
        <v>6.1635672386780103</v>
      </c>
      <c r="M134" s="1215">
        <v>6.0437948321316703</v>
      </c>
      <c r="N134" s="683">
        <v>5.9132005422726301</v>
      </c>
      <c r="O134" s="976">
        <v>7.0680146966956201</v>
      </c>
      <c r="P134" s="899">
        <v>6.8532857622688796</v>
      </c>
      <c r="Q134" s="2020">
        <v>6.8736660014739099</v>
      </c>
      <c r="R134" s="742">
        <v>7.5075035240490804</v>
      </c>
      <c r="S134" s="938">
        <v>7.1767403426237601</v>
      </c>
      <c r="T134" s="964">
        <v>7.2756860164817896</v>
      </c>
    </row>
    <row r="135" spans="1:20">
      <c r="A135" t="s">
        <v>397</v>
      </c>
      <c r="B135" s="6" t="str">
        <f>HYPERLINK("http://www.ncbi.nlm.nih.gov/gene/72902", "72902")</f>
        <v>72902</v>
      </c>
      <c r="C135" s="6" t="str">
        <f>HYPERLINK("http://www.ncbi.nlm.nih.gov/gene/50859", "50859")</f>
        <v>50859</v>
      </c>
      <c r="D135" t="str">
        <f>"Spock3"</f>
        <v>Spock3</v>
      </c>
      <c r="E135" t="s">
        <v>398</v>
      </c>
      <c r="F135" t="s">
        <v>407</v>
      </c>
      <c r="H135" s="515">
        <v>1</v>
      </c>
      <c r="I135" s="343">
        <v>3.7061076386925902</v>
      </c>
      <c r="J135" s="243">
        <v>3.8581614390826</v>
      </c>
      <c r="K135" s="265">
        <v>3.8887589780062402</v>
      </c>
      <c r="L135" s="1998">
        <v>5.7546969773600498</v>
      </c>
      <c r="M135" s="670">
        <v>5.8568830401070402</v>
      </c>
      <c r="N135" s="854">
        <v>6.1290741066157803</v>
      </c>
      <c r="O135" s="896">
        <v>7.2496506473410998</v>
      </c>
      <c r="P135" s="961">
        <v>7.4259512412215596</v>
      </c>
      <c r="Q135" s="2003">
        <v>7.8492439131699001</v>
      </c>
      <c r="R135" s="927">
        <v>7.9844866384967297</v>
      </c>
      <c r="S135" s="858">
        <v>8.3370129920027498</v>
      </c>
      <c r="T135" s="977">
        <v>8.2859020037028301</v>
      </c>
    </row>
    <row r="136" spans="1:20">
      <c r="A136" t="s">
        <v>408</v>
      </c>
      <c r="B136" s="6" t="str">
        <f>HYPERLINK("http://www.ncbi.nlm.nih.gov/gene/12801", "12801")</f>
        <v>12801</v>
      </c>
      <c r="C136" s="6" t="str">
        <f>HYPERLINK("http://www.ncbi.nlm.nih.gov/gene/1268", "1268")</f>
        <v>1268</v>
      </c>
      <c r="D136" t="str">
        <f>"Cnr1"</f>
        <v>Cnr1</v>
      </c>
      <c r="E136" t="s">
        <v>409</v>
      </c>
      <c r="F136" t="s">
        <v>419</v>
      </c>
      <c r="G136" t="s">
        <v>106</v>
      </c>
      <c r="H136" s="515">
        <v>1</v>
      </c>
      <c r="I136" s="253">
        <v>4.5507091307838898</v>
      </c>
      <c r="J136" s="444">
        <v>4.1696742240653597</v>
      </c>
      <c r="K136" s="452">
        <v>4.2880839028153597</v>
      </c>
      <c r="L136" s="2029">
        <v>5.1986015022311003</v>
      </c>
      <c r="M136" s="687">
        <v>5.4870747569740699</v>
      </c>
      <c r="N136" s="649">
        <v>5.6620073869563798</v>
      </c>
      <c r="O136" s="978">
        <v>6.5604402581425401</v>
      </c>
      <c r="P136" s="909">
        <v>6.5217450811413897</v>
      </c>
      <c r="Q136" s="2030">
        <v>6.5724597800707603</v>
      </c>
      <c r="R136" s="742">
        <v>7.0994314774973102</v>
      </c>
      <c r="S136" s="979">
        <v>6.8856350781569198</v>
      </c>
      <c r="T136" s="971">
        <v>6.81227252353401</v>
      </c>
    </row>
    <row r="137" spans="1:20">
      <c r="A137" t="s">
        <v>420</v>
      </c>
      <c r="B137" s="6" t="str">
        <f>HYPERLINK("http://www.ncbi.nlm.nih.gov/gene/18710", "18710")</f>
        <v>18710</v>
      </c>
      <c r="C137" s="6" t="str">
        <f>HYPERLINK("http://www.ncbi.nlm.nih.gov/gene/8503", "8503")</f>
        <v>8503</v>
      </c>
      <c r="D137" t="str">
        <f>"Pik3r3"</f>
        <v>Pik3r3</v>
      </c>
      <c r="E137" t="s">
        <v>421</v>
      </c>
      <c r="F137" t="s">
        <v>436</v>
      </c>
      <c r="G137" t="s">
        <v>422</v>
      </c>
      <c r="H137" s="515">
        <v>1</v>
      </c>
      <c r="I137" s="65">
        <v>5.7527317713756103</v>
      </c>
      <c r="J137" s="443">
        <v>5.1265418382704198</v>
      </c>
      <c r="K137" s="452">
        <v>5.4670903801271802</v>
      </c>
      <c r="L137" s="2031">
        <v>6.5833748632884603</v>
      </c>
      <c r="M137" s="699">
        <v>6.4379514519982504</v>
      </c>
      <c r="N137" s="779">
        <v>6.6465148620560601</v>
      </c>
      <c r="O137" s="980">
        <v>7.4098392656870704</v>
      </c>
      <c r="P137" s="934">
        <v>7.4753960674248301</v>
      </c>
      <c r="Q137" s="2007">
        <v>7.5400823408138802</v>
      </c>
      <c r="R137" s="918">
        <v>7.6317705138556704</v>
      </c>
      <c r="S137" s="981">
        <v>7.5263740700497204</v>
      </c>
      <c r="T137" s="982">
        <v>7.3460209238740104</v>
      </c>
    </row>
    <row r="138" spans="1:20">
      <c r="A138" t="s">
        <v>423</v>
      </c>
      <c r="B138" s="6" t="str">
        <f>HYPERLINK("http://www.ncbi.nlm.nih.gov/gene/219228", "219228")</f>
        <v>219228</v>
      </c>
      <c r="C138" s="6" t="str">
        <f>HYPERLINK("http://www.ncbi.nlm.nih.gov/gene/27253", "27253")</f>
        <v>27253</v>
      </c>
      <c r="D138" t="str">
        <f>"Pcdh17"</f>
        <v>Pcdh17</v>
      </c>
      <c r="E138" t="s">
        <v>424</v>
      </c>
      <c r="F138" t="s">
        <v>445</v>
      </c>
      <c r="H138" s="515">
        <v>1</v>
      </c>
      <c r="I138" s="455">
        <v>4.10467815131629</v>
      </c>
      <c r="J138" s="456">
        <v>3.6277372726427202</v>
      </c>
      <c r="K138" s="232">
        <v>4.2090665703380896</v>
      </c>
      <c r="L138" s="1927">
        <v>5.0961900290777002</v>
      </c>
      <c r="M138" s="658">
        <v>5.1951467620155301</v>
      </c>
      <c r="N138" s="1207">
        <v>5.2493138507489103</v>
      </c>
      <c r="O138" s="983">
        <v>5.80057669575283</v>
      </c>
      <c r="P138" s="962">
        <v>5.9339408712216697</v>
      </c>
      <c r="Q138" s="2032">
        <v>6.0038783307598296</v>
      </c>
      <c r="R138" s="885">
        <v>6.1191865627532698</v>
      </c>
      <c r="S138" s="536">
        <v>5.98159817493221</v>
      </c>
      <c r="T138" s="957">
        <v>6.0620971404155704</v>
      </c>
    </row>
    <row r="139" spans="1:20">
      <c r="A139" t="s">
        <v>446</v>
      </c>
      <c r="B139" s="6" t="str">
        <f>HYPERLINK("http://www.ncbi.nlm.nih.gov/gene/72669", "72669")</f>
        <v>72669</v>
      </c>
      <c r="C139" s="6" t="str">
        <f>HYPERLINK("http://www.ncbi.nlm.nih.gov/gene/", "")</f>
        <v/>
      </c>
      <c r="D139" t="str">
        <f>"2810032G03Rik"</f>
        <v>2810032G03Rik</v>
      </c>
      <c r="E139" t="s">
        <v>447</v>
      </c>
      <c r="F139" t="s">
        <v>90</v>
      </c>
      <c r="H139" s="515">
        <v>1</v>
      </c>
      <c r="I139" s="342">
        <v>3.2402791130780999</v>
      </c>
      <c r="J139" s="446">
        <v>2.4644994920639598</v>
      </c>
      <c r="K139" s="154">
        <v>3.8502740961317201</v>
      </c>
      <c r="L139" s="2033">
        <v>4.3282610447902297</v>
      </c>
      <c r="M139" s="1207">
        <v>4.4800836906050003</v>
      </c>
      <c r="N139" s="849">
        <v>4.3804249302189104</v>
      </c>
      <c r="O139" s="884">
        <v>5.0041394727948703</v>
      </c>
      <c r="P139" s="912">
        <v>5.2258653938418798</v>
      </c>
      <c r="Q139" s="2034">
        <v>5.1949327308536004</v>
      </c>
      <c r="R139" s="704">
        <v>5.3665546619417501</v>
      </c>
      <c r="S139" s="967">
        <v>5.3756899024545097</v>
      </c>
      <c r="T139" s="984">
        <v>5.2030637832507001</v>
      </c>
    </row>
    <row r="140" spans="1:20">
      <c r="A140" t="s">
        <v>448</v>
      </c>
      <c r="B140" s="6" t="str">
        <f>HYPERLINK("http://www.ncbi.nlm.nih.gov/gene/56492", "56492")</f>
        <v>56492</v>
      </c>
      <c r="C140" s="6" t="str">
        <f>HYPERLINK("http://www.ncbi.nlm.nih.gov/gene/51208", "51208")</f>
        <v>51208</v>
      </c>
      <c r="D140" t="str">
        <f>"Cldn18"</f>
        <v>Cldn18</v>
      </c>
      <c r="E140" t="s">
        <v>449</v>
      </c>
      <c r="F140" t="s">
        <v>450</v>
      </c>
      <c r="G140" t="s">
        <v>451</v>
      </c>
      <c r="H140" s="516">
        <v>2</v>
      </c>
      <c r="I140" s="97">
        <v>3.3465989235455198</v>
      </c>
      <c r="J140" s="202">
        <v>3.2545693741597899</v>
      </c>
      <c r="K140" s="65">
        <v>2.7187299736442099</v>
      </c>
      <c r="L140" s="1998">
        <v>3.1837705682697801</v>
      </c>
      <c r="M140" s="738">
        <v>3.20048942664376</v>
      </c>
      <c r="N140" s="891">
        <v>3.019759737227</v>
      </c>
      <c r="O140" s="985">
        <v>3.0180250311805099</v>
      </c>
      <c r="P140" s="712">
        <v>3.0477456935907599</v>
      </c>
      <c r="Q140" s="2035">
        <v>2.9846151622992498</v>
      </c>
      <c r="R140" s="631">
        <v>4.2130624910542904</v>
      </c>
      <c r="S140" s="526">
        <v>4.79980629658127</v>
      </c>
      <c r="T140" s="957">
        <v>3.9404238483532499</v>
      </c>
    </row>
    <row r="141" spans="1:20">
      <c r="A141" t="s">
        <v>452</v>
      </c>
      <c r="B141" s="6" t="str">
        <f>HYPERLINK("http://www.ncbi.nlm.nih.gov/gene/15561", "15561")</f>
        <v>15561</v>
      </c>
      <c r="C141" s="6" t="str">
        <f>HYPERLINK("http://www.ncbi.nlm.nih.gov/gene/3359", "3359")</f>
        <v>3359</v>
      </c>
      <c r="D141" t="str">
        <f>"Htr3a"</f>
        <v>Htr3a</v>
      </c>
      <c r="E141" t="s">
        <v>453</v>
      </c>
      <c r="F141" t="s">
        <v>425</v>
      </c>
      <c r="H141" s="516">
        <v>2</v>
      </c>
      <c r="I141" s="97">
        <v>3.7590192906214002</v>
      </c>
      <c r="J141" s="41">
        <v>3.4927009662669399</v>
      </c>
      <c r="K141" s="25">
        <v>3.4607548219432198</v>
      </c>
      <c r="L141" s="1876">
        <v>3.6192541684164801</v>
      </c>
      <c r="M141" s="669">
        <v>3.5347673396264101</v>
      </c>
      <c r="N141" s="567">
        <v>3.2749480316427602</v>
      </c>
      <c r="O141" s="986">
        <v>3.42626887585216</v>
      </c>
      <c r="P141" s="987">
        <v>3.1837872143455201</v>
      </c>
      <c r="Q141" s="2036">
        <v>3.6326474394256199</v>
      </c>
      <c r="R141" s="762">
        <v>4.6467335755833803</v>
      </c>
      <c r="S141" s="526">
        <v>5.0635389522410197</v>
      </c>
      <c r="T141" s="988">
        <v>4.5726793762475104</v>
      </c>
    </row>
    <row r="142" spans="1:20">
      <c r="A142" t="s">
        <v>426</v>
      </c>
      <c r="B142" s="6" t="str">
        <f>HYPERLINK("http://www.ncbi.nlm.nih.gov/gene/234290", "234290")</f>
        <v>234290</v>
      </c>
      <c r="C142" s="6" t="str">
        <f>HYPERLINK("http://www.ncbi.nlm.nih.gov/gene/", "")</f>
        <v/>
      </c>
      <c r="D142" t="str">
        <f>"BC030500"</f>
        <v>BC030500</v>
      </c>
      <c r="E142" t="s">
        <v>427</v>
      </c>
      <c r="F142" t="s">
        <v>90</v>
      </c>
      <c r="H142" s="516">
        <v>2</v>
      </c>
      <c r="I142" s="91">
        <v>3.31828090613398</v>
      </c>
      <c r="J142" s="26">
        <v>3.3970447146180298</v>
      </c>
      <c r="K142" s="190">
        <v>3.6106573801551298</v>
      </c>
      <c r="L142" s="2037">
        <v>3.4106589004247501</v>
      </c>
      <c r="M142" s="662">
        <v>3.34702380361768</v>
      </c>
      <c r="N142" s="734">
        <v>3.2979762341900001</v>
      </c>
      <c r="O142" s="989">
        <v>3.4403793522811701</v>
      </c>
      <c r="P142" s="669">
        <v>3.46520067046727</v>
      </c>
      <c r="Q142" s="2038">
        <v>3.2674932285398399</v>
      </c>
      <c r="R142" s="553">
        <v>4.7940818226034301</v>
      </c>
      <c r="S142" s="526">
        <v>5.6372072664513704</v>
      </c>
      <c r="T142" s="990">
        <v>4.9061132082427799</v>
      </c>
    </row>
    <row r="143" spans="1:20">
      <c r="A143" t="s">
        <v>428</v>
      </c>
      <c r="B143" s="6" t="str">
        <f>HYPERLINK("http://www.ncbi.nlm.nih.gov/gene/235534", "235534")</f>
        <v>235534</v>
      </c>
      <c r="C143" s="6" t="str">
        <f>HYPERLINK("http://www.ncbi.nlm.nih.gov/gene/92370", "92370")</f>
        <v>92370</v>
      </c>
      <c r="D143" t="str">
        <f>"Acpl2"</f>
        <v>Acpl2</v>
      </c>
      <c r="E143" t="s">
        <v>429</v>
      </c>
      <c r="F143" t="s">
        <v>430</v>
      </c>
      <c r="H143" s="516">
        <v>2</v>
      </c>
      <c r="I143" s="98">
        <v>5.4017294260266002</v>
      </c>
      <c r="J143" s="90">
        <v>5.62834302016502</v>
      </c>
      <c r="K143" s="96">
        <v>5.5393866998983796</v>
      </c>
      <c r="L143" s="2039">
        <v>5.6932843093453398</v>
      </c>
      <c r="M143" s="533">
        <v>5.4889725756234</v>
      </c>
      <c r="N143" s="699">
        <v>5.6065562037171803</v>
      </c>
      <c r="O143" s="991">
        <v>5.2581509890765297</v>
      </c>
      <c r="P143" s="992">
        <v>5.2060679442782396</v>
      </c>
      <c r="Q143" s="2040">
        <v>5.2447428983677202</v>
      </c>
      <c r="R143" s="804">
        <v>7.0229486418877904</v>
      </c>
      <c r="S143" s="994">
        <v>7.4342330472127598</v>
      </c>
      <c r="T143" s="995">
        <v>7.0832337177737701</v>
      </c>
    </row>
    <row r="144" spans="1:20">
      <c r="A144" t="s">
        <v>431</v>
      </c>
      <c r="B144" s="6" t="str">
        <f>HYPERLINK("http://www.ncbi.nlm.nih.gov/gene/74488", "74488")</f>
        <v>74488</v>
      </c>
      <c r="C144" s="6" t="str">
        <f>HYPERLINK("http://www.ncbi.nlm.nih.gov/gene/131578", "131578")</f>
        <v>131578</v>
      </c>
      <c r="D144" t="str">
        <f>"Lrrc15"</f>
        <v>Lrrc15</v>
      </c>
      <c r="E144" t="s">
        <v>432</v>
      </c>
      <c r="F144" t="s">
        <v>433</v>
      </c>
      <c r="H144" s="516">
        <v>2</v>
      </c>
      <c r="I144" s="149">
        <v>3.9131803542552301</v>
      </c>
      <c r="J144" s="204">
        <v>3.8813863179471002</v>
      </c>
      <c r="K144" s="34">
        <v>3.51980064997261</v>
      </c>
      <c r="L144" s="1955">
        <v>3.73935301739087</v>
      </c>
      <c r="M144" s="622">
        <v>3.60774517721251</v>
      </c>
      <c r="N144" s="662">
        <v>3.6285272034728102</v>
      </c>
      <c r="O144" s="996">
        <v>3.7860220160052598</v>
      </c>
      <c r="P144" s="997">
        <v>3.37240899427051</v>
      </c>
      <c r="Q144" s="2041">
        <v>3.6603988697125698</v>
      </c>
      <c r="R144" s="998">
        <v>5.9476281497871799</v>
      </c>
      <c r="S144" s="999">
        <v>6.0128095743144296</v>
      </c>
      <c r="T144" s="1000">
        <v>5.2874729763349801</v>
      </c>
    </row>
    <row r="145" spans="1:20">
      <c r="A145" t="s">
        <v>434</v>
      </c>
      <c r="B145" s="6" t="str">
        <f>HYPERLINK("http://www.ncbi.nlm.nih.gov/gene/16521", "16521")</f>
        <v>16521</v>
      </c>
      <c r="C145" s="6" t="str">
        <f>HYPERLINK("http://www.ncbi.nlm.nih.gov/gene/3762", "3762")</f>
        <v>3762</v>
      </c>
      <c r="D145" t="str">
        <f>"Kcnj5"</f>
        <v>Kcnj5</v>
      </c>
      <c r="E145" t="s">
        <v>435</v>
      </c>
      <c r="F145" t="s">
        <v>463</v>
      </c>
      <c r="H145" s="516">
        <v>2</v>
      </c>
      <c r="I145" s="35">
        <v>2.4973046318013701</v>
      </c>
      <c r="J145" s="61">
        <v>2.4653987221099301</v>
      </c>
      <c r="K145" s="28">
        <v>2.5691859301119</v>
      </c>
      <c r="L145" s="1935">
        <v>2.7037754127353302</v>
      </c>
      <c r="M145" s="579">
        <v>2.5487590054013398</v>
      </c>
      <c r="N145" s="595">
        <v>2.6656483643875499</v>
      </c>
      <c r="O145" s="1001">
        <v>2.5795503112099398</v>
      </c>
      <c r="P145" s="1002">
        <v>2.32685734093246</v>
      </c>
      <c r="Q145" s="2042">
        <v>2.0584365105134501</v>
      </c>
      <c r="R145" s="674">
        <v>5.8280144682347199</v>
      </c>
      <c r="S145" s="1003">
        <v>5.8625611782779199</v>
      </c>
      <c r="T145" s="1004">
        <v>5.0761856452365803</v>
      </c>
    </row>
    <row r="146" spans="1:20">
      <c r="A146" t="s">
        <v>464</v>
      </c>
      <c r="B146" s="6" t="str">
        <f>HYPERLINK("http://www.ncbi.nlm.nih.gov/gene/20389", "20389")</f>
        <v>20389</v>
      </c>
      <c r="C146" s="6" t="str">
        <f>HYPERLINK("http://www.ncbi.nlm.nih.gov/gene/6440", "6440")</f>
        <v>6440</v>
      </c>
      <c r="D146" t="str">
        <f>"Sftpc"</f>
        <v>Sftpc</v>
      </c>
      <c r="E146" t="s">
        <v>465</v>
      </c>
      <c r="F146" t="s">
        <v>437</v>
      </c>
      <c r="H146" s="516">
        <v>2</v>
      </c>
      <c r="I146" s="128">
        <v>3.52040381263431</v>
      </c>
      <c r="J146" s="33">
        <v>3.73328800658479</v>
      </c>
      <c r="K146" s="126">
        <v>3.5414364233756199</v>
      </c>
      <c r="L146" s="2043">
        <v>3.2688150090991899</v>
      </c>
      <c r="M146" s="1065">
        <v>3.59602332558699</v>
      </c>
      <c r="N146" s="566">
        <v>3.30927169193808</v>
      </c>
      <c r="O146" s="1005">
        <v>3.26186003191658</v>
      </c>
      <c r="P146" s="1006">
        <v>3.5143907301969199</v>
      </c>
      <c r="Q146" s="2044">
        <v>3.2990588348374401</v>
      </c>
      <c r="R146" s="718">
        <v>4.5908760947788601</v>
      </c>
      <c r="S146" s="526">
        <v>4.9681246809229904</v>
      </c>
      <c r="T146" s="1008">
        <v>4.4129318821577703</v>
      </c>
    </row>
    <row r="147" spans="1:20">
      <c r="A147" t="s">
        <v>438</v>
      </c>
      <c r="B147" s="6" t="str">
        <f>HYPERLINK("http://www.ncbi.nlm.nih.gov/gene/433323", "433323")</f>
        <v>433323</v>
      </c>
      <c r="C147" s="6" t="str">
        <f>HYPERLINK("http://www.ncbi.nlm.nih.gov/gene/130367", "130367")</f>
        <v>130367</v>
      </c>
      <c r="D147" t="str">
        <f>"Sgpp2"</f>
        <v>Sgpp2</v>
      </c>
      <c r="E147" t="s">
        <v>439</v>
      </c>
      <c r="F147" t="s">
        <v>440</v>
      </c>
      <c r="G147" t="s">
        <v>441</v>
      </c>
      <c r="H147" s="516">
        <v>2</v>
      </c>
      <c r="I147" s="28">
        <v>3.4114753161324498</v>
      </c>
      <c r="J147" s="25">
        <v>3.37498311493282</v>
      </c>
      <c r="K147" s="105">
        <v>3.3990093482681698</v>
      </c>
      <c r="L147" s="2028">
        <v>3.5853348146344901</v>
      </c>
      <c r="M147" s="629">
        <v>3.4985804910782901</v>
      </c>
      <c r="N147" s="1215">
        <v>3.5372676490826902</v>
      </c>
      <c r="O147" s="1009">
        <v>3.2030113967388401</v>
      </c>
      <c r="P147" s="604">
        <v>3.4372671888099702</v>
      </c>
      <c r="Q147" s="2045">
        <v>3.1442254550914699</v>
      </c>
      <c r="R147" s="590">
        <v>4.2311742823221099</v>
      </c>
      <c r="S147" s="526">
        <v>4.5499831628926</v>
      </c>
      <c r="T147" s="1011">
        <v>4.1454070189703502</v>
      </c>
    </row>
    <row r="148" spans="1:20">
      <c r="A148" t="s">
        <v>442</v>
      </c>
      <c r="B148" s="6" t="str">
        <f>HYPERLINK("http://www.ncbi.nlm.nih.gov/gene/104174", "104174")</f>
        <v>104174</v>
      </c>
      <c r="C148" s="6" t="str">
        <f>HYPERLINK("http://www.ncbi.nlm.nih.gov/gene/2731", "2731")</f>
        <v>2731</v>
      </c>
      <c r="D148" t="str">
        <f>"Gldc"</f>
        <v>Gldc</v>
      </c>
      <c r="E148" t="s">
        <v>443</v>
      </c>
      <c r="F148" t="s">
        <v>444</v>
      </c>
      <c r="G148" t="s">
        <v>474</v>
      </c>
      <c r="H148" s="516">
        <v>2</v>
      </c>
      <c r="I148" s="55">
        <v>3.49936783871529</v>
      </c>
      <c r="J148" s="135">
        <v>3.1853702594578399</v>
      </c>
      <c r="K148" s="53">
        <v>3.4778904399256301</v>
      </c>
      <c r="L148" s="2046">
        <v>3.8421565532983899</v>
      </c>
      <c r="M148" s="604">
        <v>3.5871276302636499</v>
      </c>
      <c r="N148" s="649">
        <v>3.7963920876256498</v>
      </c>
      <c r="O148" s="1012">
        <v>3.4169262437547498</v>
      </c>
      <c r="P148" s="669">
        <v>3.5785850199217899</v>
      </c>
      <c r="Q148" s="2042">
        <v>3.28433670903742</v>
      </c>
      <c r="R148" s="1013">
        <v>5.1559091001344397</v>
      </c>
      <c r="S148" s="1014">
        <v>5.3635035686627104</v>
      </c>
      <c r="T148" s="1015">
        <v>4.6682648395328803</v>
      </c>
    </row>
    <row r="149" spans="1:20">
      <c r="A149" t="s">
        <v>475</v>
      </c>
      <c r="B149" s="6" t="str">
        <f>HYPERLINK("http://www.ncbi.nlm.nih.gov/gene/71310", "71310")</f>
        <v>71310</v>
      </c>
      <c r="C149" s="6" t="str">
        <f>HYPERLINK("http://www.ncbi.nlm.nih.gov/gene/23158", "23158")</f>
        <v>23158</v>
      </c>
      <c r="D149" t="str">
        <f>"Tbc1d9"</f>
        <v>Tbc1d9</v>
      </c>
      <c r="E149" t="s">
        <v>476</v>
      </c>
      <c r="F149" t="s">
        <v>477</v>
      </c>
      <c r="H149" s="516">
        <v>2</v>
      </c>
      <c r="I149" s="69">
        <v>4.9045608608887798</v>
      </c>
      <c r="J149" s="58">
        <v>4.66334375782262</v>
      </c>
      <c r="K149" s="24">
        <v>4.6174084859180704</v>
      </c>
      <c r="L149" s="1882">
        <v>4.76353689564022</v>
      </c>
      <c r="M149" s="854">
        <v>4.9536169312430696</v>
      </c>
      <c r="N149" s="1065">
        <v>4.8783490337793101</v>
      </c>
      <c r="O149" s="1016">
        <v>4.5869579664251097</v>
      </c>
      <c r="P149" s="854">
        <v>4.9536169312430696</v>
      </c>
      <c r="Q149" s="2047">
        <v>4.3978036920398402</v>
      </c>
      <c r="R149" s="1018">
        <v>6.0319220180615396</v>
      </c>
      <c r="S149" s="565">
        <v>5.8739911337835302</v>
      </c>
      <c r="T149" s="1019">
        <v>5.6162457359446902</v>
      </c>
    </row>
    <row r="150" spans="1:20">
      <c r="A150" t="s">
        <v>478</v>
      </c>
      <c r="B150" s="6" t="str">
        <f>HYPERLINK("http://www.ncbi.nlm.nih.gov/gene/110784", "110784")</f>
        <v>110784</v>
      </c>
      <c r="C150" s="6" t="str">
        <f>HYPERLINK("http://www.ncbi.nlm.nih.gov/gene/4306", "4306")</f>
        <v>4306</v>
      </c>
      <c r="D150" t="str">
        <f>"Nr3c2"</f>
        <v>Nr3c2</v>
      </c>
      <c r="E150" t="s">
        <v>479</v>
      </c>
      <c r="F150" t="s">
        <v>454</v>
      </c>
      <c r="G150" t="s">
        <v>455</v>
      </c>
      <c r="H150" s="516">
        <v>2</v>
      </c>
      <c r="I150" s="170">
        <v>4.1801580537778902</v>
      </c>
      <c r="J150" s="46">
        <v>3.7777340318602501</v>
      </c>
      <c r="K150" s="89">
        <v>3.7679442949117701</v>
      </c>
      <c r="L150" s="2048">
        <v>4.0969924984620496</v>
      </c>
      <c r="M150" s="544">
        <v>3.7810930076691802</v>
      </c>
      <c r="N150" s="700">
        <v>4.0784440733944001</v>
      </c>
      <c r="O150" s="1020">
        <v>3.7119285132091799</v>
      </c>
      <c r="P150" s="743">
        <v>4.1057684668478904</v>
      </c>
      <c r="Q150" s="2049">
        <v>3.40559768780677</v>
      </c>
      <c r="R150" s="1022">
        <v>5.1095047462783096</v>
      </c>
      <c r="S150" s="541">
        <v>5.2680023484924599</v>
      </c>
      <c r="T150" s="1023">
        <v>4.8290028589755796</v>
      </c>
    </row>
    <row r="151" spans="1:20">
      <c r="A151" t="s">
        <v>456</v>
      </c>
      <c r="B151" s="6" t="str">
        <f>HYPERLINK("http://www.ncbi.nlm.nih.gov/gene/14070", "14070")</f>
        <v>14070</v>
      </c>
      <c r="C151" s="6" t="str">
        <f>HYPERLINK("http://www.ncbi.nlm.nih.gov/gene/8263,474383,474384", "8263,474383,474384")</f>
        <v>8263,474383,474384</v>
      </c>
      <c r="D151" t="str">
        <f>"F8a"</f>
        <v>F8a</v>
      </c>
      <c r="E151" t="s">
        <v>457</v>
      </c>
      <c r="F151" t="s">
        <v>458</v>
      </c>
      <c r="H151" s="516">
        <v>2</v>
      </c>
      <c r="I151" s="28">
        <v>3.7232755301194298</v>
      </c>
      <c r="J151" s="73">
        <v>3.6308595452701198</v>
      </c>
      <c r="K151" s="87">
        <v>3.7749374855981301</v>
      </c>
      <c r="L151" s="1923">
        <v>3.9058988135738102</v>
      </c>
      <c r="M151" s="720">
        <v>4.0274036241228899</v>
      </c>
      <c r="N151" s="583">
        <v>3.6867870657102602</v>
      </c>
      <c r="O151" s="1024">
        <v>3.5715130366138901</v>
      </c>
      <c r="P151" s="594">
        <v>3.7303163907844201</v>
      </c>
      <c r="Q151" s="2050">
        <v>3.2946395222655198</v>
      </c>
      <c r="R151" s="698">
        <v>4.7957181012999799</v>
      </c>
      <c r="S151" s="653">
        <v>4.9797661034682497</v>
      </c>
      <c r="T151" s="1026">
        <v>4.8951400593697896</v>
      </c>
    </row>
    <row r="152" spans="1:20">
      <c r="A152" t="s">
        <v>459</v>
      </c>
      <c r="B152" s="6" t="str">
        <f>HYPERLINK("http://www.ncbi.nlm.nih.gov/gene/328287", "328287")</f>
        <v>328287</v>
      </c>
      <c r="C152" s="6" t="str">
        <f>HYPERLINK("http://www.ncbi.nlm.nih.gov/gene/", "")</f>
        <v/>
      </c>
      <c r="D152" t="str">
        <f>"Gm20554"</f>
        <v>Gm20554</v>
      </c>
      <c r="E152" t="s">
        <v>460</v>
      </c>
      <c r="H152" s="516">
        <v>2</v>
      </c>
      <c r="I152" s="311">
        <v>2.9470334984474502</v>
      </c>
      <c r="J152" s="81">
        <v>2.97977697698246</v>
      </c>
      <c r="K152" s="235">
        <v>3.4001154158551201</v>
      </c>
      <c r="L152" s="2051">
        <v>3.0265447751130998</v>
      </c>
      <c r="M152" s="599">
        <v>3.1183464668810701</v>
      </c>
      <c r="N152" s="636">
        <v>3.0790532482840001</v>
      </c>
      <c r="O152" s="1027">
        <v>3.1230967501882199</v>
      </c>
      <c r="P152" s="1028">
        <v>3.2542105812971598</v>
      </c>
      <c r="Q152" s="2052">
        <v>2.88689942473821</v>
      </c>
      <c r="R152" s="1030">
        <v>4.2306508481628597</v>
      </c>
      <c r="S152" s="526">
        <v>4.3495901886428996</v>
      </c>
      <c r="T152" s="1031">
        <v>3.7187169444157</v>
      </c>
    </row>
    <row r="153" spans="1:20">
      <c r="A153" t="s">
        <v>461</v>
      </c>
      <c r="B153" s="6" t="str">
        <f>HYPERLINK("http://www.ncbi.nlm.nih.gov/gene/54376", "54376")</f>
        <v>54376</v>
      </c>
      <c r="C153" s="6" t="str">
        <f>HYPERLINK("http://www.ncbi.nlm.nih.gov/gene/10368", "10368")</f>
        <v>10368</v>
      </c>
      <c r="D153" t="str">
        <f>"Cacng3"</f>
        <v>Cacng3</v>
      </c>
      <c r="E153" t="s">
        <v>462</v>
      </c>
      <c r="F153" t="s">
        <v>466</v>
      </c>
      <c r="G153" t="s">
        <v>467</v>
      </c>
      <c r="H153" s="516">
        <v>2</v>
      </c>
      <c r="I153" s="194">
        <v>2.66509865047612</v>
      </c>
      <c r="J153" s="87">
        <v>2.91849041730935</v>
      </c>
      <c r="K153" s="46">
        <v>2.71925243720169</v>
      </c>
      <c r="L153" s="1865">
        <v>2.7028175431260402</v>
      </c>
      <c r="M153" s="592">
        <v>2.85243952057737</v>
      </c>
      <c r="N153" s="708">
        <v>2.79264862172827</v>
      </c>
      <c r="O153" s="1032">
        <v>3.0790233534548799</v>
      </c>
      <c r="P153" s="533">
        <v>2.8530725935990899</v>
      </c>
      <c r="Q153" s="2053">
        <v>2.9071411462414898</v>
      </c>
      <c r="R153" s="618">
        <v>4.00678908057795</v>
      </c>
      <c r="S153" s="823">
        <v>4.1521067685771502</v>
      </c>
      <c r="T153" s="1033">
        <v>4.9483719833858499</v>
      </c>
    </row>
    <row r="154" spans="1:20">
      <c r="A154" t="s">
        <v>468</v>
      </c>
      <c r="B154" s="6" t="str">
        <f>HYPERLINK("http://www.ncbi.nlm.nih.gov/gene/228802", "228802")</f>
        <v>228802</v>
      </c>
      <c r="C154" s="6" t="str">
        <f>HYPERLINK("http://www.ncbi.nlm.nih.gov/gene/", "")</f>
        <v/>
      </c>
      <c r="D154" t="str">
        <f>"Bpifb5"</f>
        <v>Bpifb5</v>
      </c>
      <c r="E154" t="s">
        <v>469</v>
      </c>
      <c r="F154" t="s">
        <v>90</v>
      </c>
      <c r="H154" s="516">
        <v>2</v>
      </c>
      <c r="I154" s="74">
        <v>3.0764065253333799</v>
      </c>
      <c r="J154" s="91">
        <v>2.8843059105308901</v>
      </c>
      <c r="K154" s="299">
        <v>2.5587209204396499</v>
      </c>
      <c r="L154" s="2017">
        <v>3.43882425683038</v>
      </c>
      <c r="M154" s="715">
        <v>2.894719541213</v>
      </c>
      <c r="N154" s="715">
        <v>2.8911209993829399</v>
      </c>
      <c r="O154" s="1034">
        <v>3.08199821995558</v>
      </c>
      <c r="P154" s="669">
        <v>3.0563982448302101</v>
      </c>
      <c r="Q154" s="2054">
        <v>2.8442599900541201</v>
      </c>
      <c r="R154" s="707">
        <v>4.8233634437082804</v>
      </c>
      <c r="S154" s="661">
        <v>4.8993888905951097</v>
      </c>
      <c r="T154" s="1035">
        <v>5.0863619944069303</v>
      </c>
    </row>
    <row r="155" spans="1:20">
      <c r="A155" t="s">
        <v>470</v>
      </c>
      <c r="B155" s="6" t="str">
        <f>HYPERLINK("http://www.ncbi.nlm.nih.gov/gene/71721", "71721")</f>
        <v>71721</v>
      </c>
      <c r="C155" s="6" t="str">
        <f>HYPERLINK("http://www.ncbi.nlm.nih.gov/gene/220965", "220965")</f>
        <v>220965</v>
      </c>
      <c r="D155" t="str">
        <f>"Fam13c"</f>
        <v>Fam13c</v>
      </c>
      <c r="E155" t="s">
        <v>471</v>
      </c>
      <c r="F155" t="s">
        <v>90</v>
      </c>
      <c r="H155" s="516">
        <v>2</v>
      </c>
      <c r="I155" s="47">
        <v>6.2453101846413999</v>
      </c>
      <c r="J155" s="87">
        <v>6.2278111954196103</v>
      </c>
      <c r="K155" s="96">
        <v>6.2120988074346997</v>
      </c>
      <c r="L155" s="1891">
        <v>6.1300032803246101</v>
      </c>
      <c r="M155" s="1179">
        <v>5.9350146011783496</v>
      </c>
      <c r="N155" s="573">
        <v>6.0283937133972101</v>
      </c>
      <c r="O155" s="1036">
        <v>6.1538497780934502</v>
      </c>
      <c r="P155" s="892">
        <v>6.2474264969702</v>
      </c>
      <c r="Q155" s="2055">
        <v>6.0029114343212902</v>
      </c>
      <c r="R155" s="652">
        <v>7.6628911254252703</v>
      </c>
      <c r="S155" s="686">
        <v>7.5564060346332402</v>
      </c>
      <c r="T155" s="1038">
        <v>7.7040303798311003</v>
      </c>
    </row>
    <row r="156" spans="1:20">
      <c r="A156" t="s">
        <v>472</v>
      </c>
      <c r="B156" s="6" t="str">
        <f>HYPERLINK("http://www.ncbi.nlm.nih.gov/gene/19699", "19699")</f>
        <v>19699</v>
      </c>
      <c r="C156" s="6" t="str">
        <f>HYPERLINK("http://www.ncbi.nlm.nih.gov/gene/5649", "5649")</f>
        <v>5649</v>
      </c>
      <c r="D156" t="str">
        <f>"Reln"</f>
        <v>Reln</v>
      </c>
      <c r="E156" t="s">
        <v>473</v>
      </c>
      <c r="F156" t="s">
        <v>480</v>
      </c>
      <c r="G156" t="s">
        <v>505</v>
      </c>
      <c r="H156" s="516">
        <v>2</v>
      </c>
      <c r="I156" s="227">
        <v>3.6037192322871801</v>
      </c>
      <c r="J156" s="83">
        <v>3.3458980908871099</v>
      </c>
      <c r="K156" s="58">
        <v>3.2037398072375001</v>
      </c>
      <c r="L156" s="1928">
        <v>3.4413142609012102</v>
      </c>
      <c r="M156" s="554">
        <v>3.3069823061610299</v>
      </c>
      <c r="N156" s="1324">
        <v>3.1743263893383702</v>
      </c>
      <c r="O156" s="1039">
        <v>3.3148154177976599</v>
      </c>
      <c r="P156" s="708">
        <v>3.28399188404663</v>
      </c>
      <c r="Q156" s="2056">
        <v>3.0954369517933502</v>
      </c>
      <c r="R156" s="564">
        <v>5.1761359702737098</v>
      </c>
      <c r="S156" s="1041">
        <v>4.9377566192984803</v>
      </c>
      <c r="T156" s="1042">
        <v>5.2042028942615302</v>
      </c>
    </row>
    <row r="157" spans="1:20">
      <c r="A157" t="s">
        <v>506</v>
      </c>
      <c r="B157" s="6" t="str">
        <f>HYPERLINK("http://www.ncbi.nlm.nih.gov/gene/26878", "26878")</f>
        <v>26878</v>
      </c>
      <c r="C157" s="6" t="str">
        <f>HYPERLINK("http://www.ncbi.nlm.nih.gov/gene/8707", "8707")</f>
        <v>8707</v>
      </c>
      <c r="D157" t="str">
        <f>"B3galt2"</f>
        <v>B3galt2</v>
      </c>
      <c r="E157" t="s">
        <v>507</v>
      </c>
      <c r="F157" t="s">
        <v>481</v>
      </c>
      <c r="G157" t="s">
        <v>482</v>
      </c>
      <c r="H157" s="516">
        <v>2</v>
      </c>
      <c r="I157" s="224">
        <v>2.9633717858972299</v>
      </c>
      <c r="J157" s="26">
        <v>2.44230054238212</v>
      </c>
      <c r="K157" s="59">
        <v>2.2092597265442202</v>
      </c>
      <c r="L157" s="1952">
        <v>2.1616303028331201</v>
      </c>
      <c r="M157" s="992">
        <v>1.9902842585949501</v>
      </c>
      <c r="N157" s="676">
        <v>2.7226343248231002</v>
      </c>
      <c r="O157" s="1043">
        <v>2.3678558951241602</v>
      </c>
      <c r="P157" s="592">
        <v>2.4870265440814299</v>
      </c>
      <c r="Q157" s="2057">
        <v>2.4519663488268502</v>
      </c>
      <c r="R157" s="631">
        <v>5.1523693690225301</v>
      </c>
      <c r="S157" s="608">
        <v>5.6726015952835702</v>
      </c>
      <c r="T157" s="1044">
        <v>5.8370424075988696</v>
      </c>
    </row>
    <row r="158" spans="1:20">
      <c r="A158" t="s">
        <v>483</v>
      </c>
      <c r="B158" s="6" t="str">
        <f>HYPERLINK("http://www.ncbi.nlm.nih.gov/gene/100503961", "100503961")</f>
        <v>100503961</v>
      </c>
      <c r="C158" s="6" t="str">
        <f>HYPERLINK("http://www.ncbi.nlm.nih.gov/gene/", "")</f>
        <v/>
      </c>
      <c r="D158" t="str">
        <f>"Gm19990"</f>
        <v>Gm19990</v>
      </c>
      <c r="E158" t="s">
        <v>484</v>
      </c>
      <c r="H158" s="516">
        <v>2</v>
      </c>
      <c r="I158" s="50">
        <v>2.8258847251725201</v>
      </c>
      <c r="J158" s="26">
        <v>2.9111906934562701</v>
      </c>
      <c r="K158" s="34">
        <v>2.6462180713191699</v>
      </c>
      <c r="L158" s="1848">
        <v>2.9723961142970898</v>
      </c>
      <c r="M158" s="715">
        <v>2.76209088125781</v>
      </c>
      <c r="N158" s="610">
        <v>2.9006711118053001</v>
      </c>
      <c r="O158" s="989">
        <v>2.9963444794110199</v>
      </c>
      <c r="P158" s="832">
        <v>3.0309536474847198</v>
      </c>
      <c r="Q158" s="2041">
        <v>2.8762541715464498</v>
      </c>
      <c r="R158" s="745">
        <v>5.9779824259034697</v>
      </c>
      <c r="S158" s="841">
        <v>6.5712936414249397</v>
      </c>
      <c r="T158" s="1045">
        <v>6.3238812797386101</v>
      </c>
    </row>
    <row r="159" spans="1:20">
      <c r="A159" t="s">
        <v>485</v>
      </c>
      <c r="B159" s="6" t="str">
        <f>HYPERLINK("http://www.ncbi.nlm.nih.gov/gene/16981", "16981")</f>
        <v>16981</v>
      </c>
      <c r="C159" s="6" t="str">
        <f>HYPERLINK("http://www.ncbi.nlm.nih.gov/gene/54674", "54674")</f>
        <v>54674</v>
      </c>
      <c r="D159" t="str">
        <f>"Lrrn3"</f>
        <v>Lrrn3</v>
      </c>
      <c r="E159" t="s">
        <v>486</v>
      </c>
      <c r="F159" t="s">
        <v>487</v>
      </c>
      <c r="H159" s="516">
        <v>2</v>
      </c>
      <c r="I159" s="83">
        <v>7.1000695794330504</v>
      </c>
      <c r="J159" s="91">
        <v>6.9160365640344299</v>
      </c>
      <c r="K159" s="96">
        <v>7.1996983107716996</v>
      </c>
      <c r="L159" s="2051">
        <v>6.9029576638008896</v>
      </c>
      <c r="M159" s="1081">
        <v>6.8876566107650801</v>
      </c>
      <c r="N159" s="604">
        <v>7.1971813662939903</v>
      </c>
      <c r="O159" s="1046">
        <v>6.97376307077311</v>
      </c>
      <c r="P159" s="715">
        <v>6.9308364014412103</v>
      </c>
      <c r="Q159" s="2058">
        <v>7.1456199316933402</v>
      </c>
      <c r="R159" s="661">
        <v>10.000593288040999</v>
      </c>
      <c r="S159" s="815">
        <v>10.244957018201401</v>
      </c>
      <c r="T159" s="1047">
        <v>10.099274913596201</v>
      </c>
    </row>
    <row r="160" spans="1:20">
      <c r="A160" t="s">
        <v>488</v>
      </c>
      <c r="B160" s="6" t="str">
        <f>HYPERLINK("http://www.ncbi.nlm.nih.gov/gene/67374", "67374")</f>
        <v>67374</v>
      </c>
      <c r="C160" s="6" t="str">
        <f>HYPERLINK("http://www.ncbi.nlm.nih.gov/gene/58494", "58494")</f>
        <v>58494</v>
      </c>
      <c r="D160" t="str">
        <f>"Jam2"</f>
        <v>Jam2</v>
      </c>
      <c r="E160" t="s">
        <v>489</v>
      </c>
      <c r="F160" t="s">
        <v>490</v>
      </c>
      <c r="G160" t="s">
        <v>491</v>
      </c>
      <c r="H160" s="516">
        <v>2</v>
      </c>
      <c r="I160" s="24">
        <v>6.31055696499853</v>
      </c>
      <c r="J160" s="142">
        <v>6.2246072806543697</v>
      </c>
      <c r="K160" s="46">
        <v>6.3545449375388801</v>
      </c>
      <c r="L160" s="2059">
        <v>6.4686895598444298</v>
      </c>
      <c r="M160" s="654">
        <v>6.5567927969405799</v>
      </c>
      <c r="N160" s="676">
        <v>6.5235452309703499</v>
      </c>
      <c r="O160" s="1048">
        <v>6.2953108811217602</v>
      </c>
      <c r="P160" s="529">
        <v>6.5384818100706896</v>
      </c>
      <c r="Q160" s="2060">
        <v>6.5400776615517797</v>
      </c>
      <c r="R160" s="745">
        <v>7.3999982516202101</v>
      </c>
      <c r="S160" s="1049">
        <v>7.6240893818192603</v>
      </c>
      <c r="T160" s="1050">
        <v>7.4123582553602798</v>
      </c>
    </row>
    <row r="161" spans="1:20">
      <c r="A161" t="s">
        <v>492</v>
      </c>
      <c r="B161" s="6" t="str">
        <f>HYPERLINK("http://www.ncbi.nlm.nih.gov/gene/18585", "18585")</f>
        <v>18585</v>
      </c>
      <c r="C161" s="6" t="str">
        <f>HYPERLINK("http://www.ncbi.nlm.nih.gov/gene/5152", "5152")</f>
        <v>5152</v>
      </c>
      <c r="D161" t="str">
        <f>"Pde9a"</f>
        <v>Pde9a</v>
      </c>
      <c r="E161" t="s">
        <v>493</v>
      </c>
      <c r="F161" t="s">
        <v>494</v>
      </c>
      <c r="G161" t="s">
        <v>495</v>
      </c>
      <c r="H161" s="516">
        <v>2</v>
      </c>
      <c r="I161" s="51">
        <v>6.5196227832156604</v>
      </c>
      <c r="J161" s="122">
        <v>6.3400361660909903</v>
      </c>
      <c r="K161" s="68">
        <v>6.7245244962138004</v>
      </c>
      <c r="L161" s="2061">
        <v>6.6566038177883797</v>
      </c>
      <c r="M161" s="636">
        <v>6.6843756249150799</v>
      </c>
      <c r="N161" s="683">
        <v>6.8123268451692303</v>
      </c>
      <c r="O161" s="1051">
        <v>6.6579956545668804</v>
      </c>
      <c r="P161" s="906">
        <v>6.84759908469767</v>
      </c>
      <c r="Q161" s="2062">
        <v>6.83922927234853</v>
      </c>
      <c r="R161" s="686">
        <v>8.0238272852061208</v>
      </c>
      <c r="S161" s="617">
        <v>8.13193672313351</v>
      </c>
      <c r="T161" s="1045">
        <v>8.1210817558230808</v>
      </c>
    </row>
    <row r="162" spans="1:20">
      <c r="A162" t="s">
        <v>496</v>
      </c>
      <c r="B162" s="6" t="str">
        <f>HYPERLINK("http://www.ncbi.nlm.nih.gov/gene/12349", "12349")</f>
        <v>12349</v>
      </c>
      <c r="C162" s="6" t="str">
        <f>HYPERLINK("http://www.ncbi.nlm.nih.gov/gene/760", "760")</f>
        <v>760</v>
      </c>
      <c r="D162" t="str">
        <f>"Car2"</f>
        <v>Car2</v>
      </c>
      <c r="E162" t="s">
        <v>497</v>
      </c>
      <c r="F162" t="s">
        <v>498</v>
      </c>
      <c r="G162" t="s">
        <v>499</v>
      </c>
      <c r="H162" s="516">
        <v>2</v>
      </c>
      <c r="I162" s="141">
        <v>3.3753251878325301</v>
      </c>
      <c r="J162" s="81">
        <v>3.1489211788446401</v>
      </c>
      <c r="K162" s="182">
        <v>3.521477958358</v>
      </c>
      <c r="L162" s="2063">
        <v>3.4920987075288701</v>
      </c>
      <c r="M162" s="533">
        <v>3.7139074864012702</v>
      </c>
      <c r="N162" s="683">
        <v>4.0859914113069999</v>
      </c>
      <c r="O162" s="1052">
        <v>3.11413289521396</v>
      </c>
      <c r="P162" s="910">
        <v>4.2775982529746797</v>
      </c>
      <c r="Q162" s="2064">
        <v>3.5491120459483398</v>
      </c>
      <c r="R162" s="565">
        <v>8.5830224573011709</v>
      </c>
      <c r="S162" s="652">
        <v>8.69678497312381</v>
      </c>
      <c r="T162" s="1053">
        <v>8.6002842801836703</v>
      </c>
    </row>
    <row r="163" spans="1:20">
      <c r="A163" t="s">
        <v>500</v>
      </c>
      <c r="B163" s="6" t="str">
        <f>HYPERLINK("http://www.ncbi.nlm.nih.gov/gene/16658", "16658")</f>
        <v>16658</v>
      </c>
      <c r="C163" s="6" t="str">
        <f>HYPERLINK("http://www.ncbi.nlm.nih.gov/gene/9935", "9935")</f>
        <v>9935</v>
      </c>
      <c r="D163" t="str">
        <f>"Mafb"</f>
        <v>Mafb</v>
      </c>
      <c r="E163" t="s">
        <v>501</v>
      </c>
      <c r="F163" t="s">
        <v>502</v>
      </c>
      <c r="H163" s="516">
        <v>2</v>
      </c>
      <c r="I163" s="34">
        <v>6.2521029511727102</v>
      </c>
      <c r="J163" s="95">
        <v>6.1039235171745299</v>
      </c>
      <c r="K163" s="160">
        <v>6.3293574541558799</v>
      </c>
      <c r="L163" s="2059">
        <v>6.4684703111235198</v>
      </c>
      <c r="M163" s="604">
        <v>6.4777630143623499</v>
      </c>
      <c r="N163" s="892">
        <v>6.5151831753567597</v>
      </c>
      <c r="O163" s="1036">
        <v>6.4073633093864304</v>
      </c>
      <c r="P163" s="670">
        <v>6.5993246200353601</v>
      </c>
      <c r="Q163" s="2054">
        <v>6.2687456819770704</v>
      </c>
      <c r="R163" s="679">
        <v>8.1356791845931102</v>
      </c>
      <c r="S163" s="1054">
        <v>8.3208870029888402</v>
      </c>
      <c r="T163" s="1055">
        <v>8.1631307565500002</v>
      </c>
    </row>
    <row r="164" spans="1:20">
      <c r="A164" t="s">
        <v>503</v>
      </c>
      <c r="B164" s="6" t="str">
        <f>HYPERLINK("http://www.ncbi.nlm.nih.gov/gene/77630", "77630")</f>
        <v>77630</v>
      </c>
      <c r="C164" s="6" t="str">
        <f>HYPERLINK("http://www.ncbi.nlm.nih.gov/gene/56978", "56978")</f>
        <v>56978</v>
      </c>
      <c r="D164" t="str">
        <f>"Prdm8"</f>
        <v>Prdm8</v>
      </c>
      <c r="E164" t="s">
        <v>504</v>
      </c>
      <c r="F164" t="s">
        <v>508</v>
      </c>
      <c r="H164" s="516">
        <v>2</v>
      </c>
      <c r="I164" s="75">
        <v>3.4093343293496301</v>
      </c>
      <c r="J164" s="273">
        <v>3.6541833164670798</v>
      </c>
      <c r="K164" s="156">
        <v>3.7985592317332699</v>
      </c>
      <c r="L164" s="1909">
        <v>4.0295427979612404</v>
      </c>
      <c r="M164" s="533">
        <v>4.0508079021896197</v>
      </c>
      <c r="N164" s="699">
        <v>4.3165870540283597</v>
      </c>
      <c r="O164" s="1056">
        <v>4.1465595282985204</v>
      </c>
      <c r="P164" s="609">
        <v>4.1385043091158202</v>
      </c>
      <c r="Q164" s="2065">
        <v>3.9466689222738802</v>
      </c>
      <c r="R164" s="707">
        <v>7.6279924305421103</v>
      </c>
      <c r="S164" s="841">
        <v>8.2561273716683203</v>
      </c>
      <c r="T164" s="1057">
        <v>7.8394880344593103</v>
      </c>
    </row>
    <row r="165" spans="1:20">
      <c r="A165" t="s">
        <v>509</v>
      </c>
      <c r="B165" s="6" t="str">
        <f>HYPERLINK("http://www.ncbi.nlm.nih.gov/gene/230959", "230959")</f>
        <v>230959</v>
      </c>
      <c r="C165" s="6" t="str">
        <f>HYPERLINK("http://www.ncbi.nlm.nih.gov/gene/55966", "55966")</f>
        <v>55966</v>
      </c>
      <c r="D165" t="str">
        <f>"Ajap1"</f>
        <v>Ajap1</v>
      </c>
      <c r="E165" t="s">
        <v>510</v>
      </c>
      <c r="F165" t="s">
        <v>511</v>
      </c>
      <c r="H165" s="516">
        <v>2</v>
      </c>
      <c r="I165" s="64">
        <v>2.7714346353419002</v>
      </c>
      <c r="J165" s="60">
        <v>2.8865379497708501</v>
      </c>
      <c r="K165" s="160">
        <v>3.1459735159266602</v>
      </c>
      <c r="L165" s="1998">
        <v>3.6161146341417298</v>
      </c>
      <c r="M165" s="670">
        <v>3.7315803969996502</v>
      </c>
      <c r="N165" s="1006">
        <v>3.4975727103616001</v>
      </c>
      <c r="O165" s="1058">
        <v>3.2082473249336001</v>
      </c>
      <c r="P165" s="662">
        <v>3.1586760191084502</v>
      </c>
      <c r="Q165" s="2066">
        <v>3.3349508619556398</v>
      </c>
      <c r="R165" s="587">
        <v>7.2384920606385501</v>
      </c>
      <c r="S165" s="602">
        <v>7.2234328946440698</v>
      </c>
      <c r="T165" s="1059">
        <v>7.1506610118636402</v>
      </c>
    </row>
    <row r="166" spans="1:20">
      <c r="A166" t="s">
        <v>512</v>
      </c>
      <c r="B166" s="6" t="str">
        <f>HYPERLINK("http://www.ncbi.nlm.nih.gov/gene/18708", "18708")</f>
        <v>18708</v>
      </c>
      <c r="C166" s="6" t="str">
        <f>HYPERLINK("http://www.ncbi.nlm.nih.gov/gene/5295", "5295")</f>
        <v>5295</v>
      </c>
      <c r="D166" t="str">
        <f>"Pik3r1"</f>
        <v>Pik3r1</v>
      </c>
      <c r="E166" t="s">
        <v>513</v>
      </c>
      <c r="F166" t="s">
        <v>514</v>
      </c>
      <c r="G166" t="s">
        <v>422</v>
      </c>
      <c r="H166" s="516">
        <v>2</v>
      </c>
      <c r="I166" s="73">
        <v>7.1311490333953804</v>
      </c>
      <c r="J166" s="39">
        <v>6.93794198657341</v>
      </c>
      <c r="K166" s="127">
        <v>7.0187353565631296</v>
      </c>
      <c r="L166" s="1880">
        <v>7.3454754394190003</v>
      </c>
      <c r="M166" s="610">
        <v>7.22172076404041</v>
      </c>
      <c r="N166" s="658">
        <v>7.54422519974311</v>
      </c>
      <c r="O166" s="1060">
        <v>7.2082429354750399</v>
      </c>
      <c r="P166" s="554">
        <v>7.2136018751934401</v>
      </c>
      <c r="Q166" s="2067">
        <v>7.3381535282893999</v>
      </c>
      <c r="R166" s="587">
        <v>8.8298550133615805</v>
      </c>
      <c r="S166" s="587">
        <v>8.8309615765797194</v>
      </c>
      <c r="T166" s="1061">
        <v>8.7399793856640802</v>
      </c>
    </row>
    <row r="167" spans="1:20">
      <c r="A167" t="s">
        <v>527</v>
      </c>
      <c r="B167" s="6" t="str">
        <f>HYPERLINK("http://www.ncbi.nlm.nih.gov/gene/622645", "622645")</f>
        <v>622645</v>
      </c>
      <c r="C167" s="6" t="str">
        <f>HYPERLINK("http://www.ncbi.nlm.nih.gov/gene/645369", "645369")</f>
        <v>645369</v>
      </c>
      <c r="D167" t="str">
        <f>"Tmem200c"</f>
        <v>Tmem200c</v>
      </c>
      <c r="E167" t="s">
        <v>528</v>
      </c>
      <c r="F167" t="s">
        <v>90</v>
      </c>
      <c r="H167" s="516">
        <v>2</v>
      </c>
      <c r="I167" s="24">
        <v>3.5996771746318599</v>
      </c>
      <c r="J167" s="72">
        <v>3.8338719369826002</v>
      </c>
      <c r="K167" s="195">
        <v>3.5136126050437002</v>
      </c>
      <c r="L167" s="1896">
        <v>3.8626975458947901</v>
      </c>
      <c r="M167" s="695">
        <v>3.9936517526225099</v>
      </c>
      <c r="N167" s="1272">
        <v>3.8276537082562898</v>
      </c>
      <c r="O167" s="1036">
        <v>3.7868169409920598</v>
      </c>
      <c r="P167" s="594">
        <v>3.8101318535267601</v>
      </c>
      <c r="Q167" s="2054">
        <v>3.6640333697625702</v>
      </c>
      <c r="R167" s="675">
        <v>5.2663175696719504</v>
      </c>
      <c r="S167" s="1062">
        <v>5.5492500836126197</v>
      </c>
      <c r="T167" s="1063">
        <v>5.36452967341706</v>
      </c>
    </row>
    <row r="168" spans="1:20">
      <c r="A168" t="s">
        <v>529</v>
      </c>
      <c r="B168" s="6" t="str">
        <f>HYPERLINK("http://www.ncbi.nlm.nih.gov/gene/232431", "232431")</f>
        <v>232431</v>
      </c>
      <c r="C168" s="6" t="str">
        <f>HYPERLINK("http://www.ncbi.nlm.nih.gov/gene/9052", "9052")</f>
        <v>9052</v>
      </c>
      <c r="D168" t="str">
        <f>"Gprc5a"</f>
        <v>Gprc5a</v>
      </c>
      <c r="E168" t="s">
        <v>530</v>
      </c>
      <c r="F168" t="s">
        <v>531</v>
      </c>
      <c r="H168" s="516">
        <v>2</v>
      </c>
      <c r="I168" s="226">
        <v>2.67683377515888</v>
      </c>
      <c r="J168" s="146">
        <v>3.1912018757716498</v>
      </c>
      <c r="K168" s="43">
        <v>2.9232079553974599</v>
      </c>
      <c r="L168" s="2068">
        <v>2.9867923978336899</v>
      </c>
      <c r="M168" s="1002">
        <v>2.96046250350836</v>
      </c>
      <c r="N168" s="779">
        <v>3.3344502279385799</v>
      </c>
      <c r="O168" s="1034">
        <v>3.1326658096164199</v>
      </c>
      <c r="P168" s="595">
        <v>3.1273510431924598</v>
      </c>
      <c r="Q168" s="2069">
        <v>3.10031410577264</v>
      </c>
      <c r="R168" s="558">
        <v>4.3505017325148296</v>
      </c>
      <c r="S168" s="994">
        <v>4.73745594663328</v>
      </c>
      <c r="T168" s="995">
        <v>4.4305588037264503</v>
      </c>
    </row>
    <row r="169" spans="1:20">
      <c r="A169" t="s">
        <v>532</v>
      </c>
      <c r="B169" s="6" t="str">
        <f>HYPERLINK("http://www.ncbi.nlm.nih.gov/gene/56788", "56788")</f>
        <v>56788</v>
      </c>
      <c r="C169" s="6" t="str">
        <f>HYPERLINK("http://www.ncbi.nlm.nih.gov/gene/57758", "57758")</f>
        <v>57758</v>
      </c>
      <c r="D169" t="str">
        <f>"Scube2"</f>
        <v>Scube2</v>
      </c>
      <c r="E169" t="s">
        <v>533</v>
      </c>
      <c r="F169" t="s">
        <v>534</v>
      </c>
      <c r="H169" s="516">
        <v>2</v>
      </c>
      <c r="I169" s="28">
        <v>3.6760107633996899</v>
      </c>
      <c r="J169" s="83">
        <v>3.6675415480546101</v>
      </c>
      <c r="K169" s="127">
        <v>3.31976180320618</v>
      </c>
      <c r="L169" s="2070">
        <v>3.3530325706491602</v>
      </c>
      <c r="M169" s="1006">
        <v>3.7602570311702701</v>
      </c>
      <c r="N169" s="835">
        <v>4.2177320428375404</v>
      </c>
      <c r="O169" s="1064">
        <v>3.16380717267625</v>
      </c>
      <c r="P169" s="1065">
        <v>3.9161072018221001</v>
      </c>
      <c r="Q169" s="2071">
        <v>3.5536428622585601</v>
      </c>
      <c r="R169" s="725">
        <v>5.9879280740989396</v>
      </c>
      <c r="S169" s="603">
        <v>6.0212762049722901</v>
      </c>
      <c r="T169" s="1055">
        <v>5.96571539970894</v>
      </c>
    </row>
    <row r="170" spans="1:20">
      <c r="A170" t="s">
        <v>535</v>
      </c>
      <c r="B170" s="6" t="str">
        <f>HYPERLINK("http://www.ncbi.nlm.nih.gov/gene/21888", "21888")</f>
        <v>21888</v>
      </c>
      <c r="C170" s="6" t="str">
        <f>HYPERLINK("http://www.ncbi.nlm.nih.gov/gene/7091", "7091")</f>
        <v>7091</v>
      </c>
      <c r="D170" t="str">
        <f>"Tle4"</f>
        <v>Tle4</v>
      </c>
      <c r="E170" t="s">
        <v>536</v>
      </c>
      <c r="F170" t="s">
        <v>515</v>
      </c>
      <c r="H170" s="516">
        <v>2</v>
      </c>
      <c r="I170" s="149">
        <v>7.2439242077792603</v>
      </c>
      <c r="J170" s="96">
        <v>7.17877331367922</v>
      </c>
      <c r="K170" s="83">
        <v>7.1461566543549102</v>
      </c>
      <c r="L170" s="2072">
        <v>6.94004029637982</v>
      </c>
      <c r="M170" s="1291">
        <v>7.2290835194882597</v>
      </c>
      <c r="N170" s="655">
        <v>7.21260841105416</v>
      </c>
      <c r="O170" s="1016">
        <v>6.9885667995401199</v>
      </c>
      <c r="P170" s="544">
        <v>7.05964295079945</v>
      </c>
      <c r="Q170" s="2073">
        <v>7.1070856411519401</v>
      </c>
      <c r="R170" s="725">
        <v>8.1569253026404809</v>
      </c>
      <c r="S170" s="617">
        <v>8.1974522276002393</v>
      </c>
      <c r="T170" s="1066">
        <v>8.1547953128566597</v>
      </c>
    </row>
    <row r="171" spans="1:20">
      <c r="A171" t="s">
        <v>516</v>
      </c>
      <c r="B171" s="6" t="str">
        <f>HYPERLINK("http://www.ncbi.nlm.nih.gov/gene/14199", "14199")</f>
        <v>14199</v>
      </c>
      <c r="C171" s="6" t="str">
        <f>HYPERLINK("http://www.ncbi.nlm.nih.gov/gene/2273", "2273")</f>
        <v>2273</v>
      </c>
      <c r="D171" t="str">
        <f>"Fhl1"</f>
        <v>Fhl1</v>
      </c>
      <c r="E171" t="s">
        <v>517</v>
      </c>
      <c r="F171" t="s">
        <v>518</v>
      </c>
      <c r="H171" s="516">
        <v>2</v>
      </c>
      <c r="I171" s="157">
        <v>7.0523615362673597</v>
      </c>
      <c r="J171" s="156">
        <v>7.3825460653727797</v>
      </c>
      <c r="K171" s="54">
        <v>7.65451615892297</v>
      </c>
      <c r="L171" s="1880">
        <v>7.57122718878506</v>
      </c>
      <c r="M171" s="793">
        <v>7.72175946770371</v>
      </c>
      <c r="N171" s="700">
        <v>7.7169156082434904</v>
      </c>
      <c r="O171" s="1067">
        <v>7.3354325472042001</v>
      </c>
      <c r="P171" s="662">
        <v>7.4053090306036902</v>
      </c>
      <c r="Q171" s="2074">
        <v>7.2051720938936699</v>
      </c>
      <c r="R171" s="666">
        <v>8.9634007731088303</v>
      </c>
      <c r="S171" s="697">
        <v>8.9471684370340103</v>
      </c>
      <c r="T171" s="1068">
        <v>9.1369969000804296</v>
      </c>
    </row>
    <row r="172" spans="1:20">
      <c r="A172" t="s">
        <v>519</v>
      </c>
      <c r="B172" s="6" t="str">
        <f>HYPERLINK("http://www.ncbi.nlm.nih.gov/gene/80857", "80857")</f>
        <v>80857</v>
      </c>
      <c r="C172" s="6" t="str">
        <f>HYPERLINK("http://www.ncbi.nlm.nih.gov/gene/26281", "26281")</f>
        <v>26281</v>
      </c>
      <c r="D172" t="str">
        <f>"Fgf20"</f>
        <v>Fgf20</v>
      </c>
      <c r="E172" t="s">
        <v>520</v>
      </c>
      <c r="F172" t="s">
        <v>543</v>
      </c>
      <c r="G172" t="s">
        <v>521</v>
      </c>
      <c r="H172" s="516">
        <v>2</v>
      </c>
      <c r="I172" s="141">
        <v>3.0130475737238802</v>
      </c>
      <c r="J172" s="44">
        <v>3.2233736812235798</v>
      </c>
      <c r="K172" s="44">
        <v>3.2238801882013801</v>
      </c>
      <c r="L172" s="2068">
        <v>3.0254927848722</v>
      </c>
      <c r="M172" s="670">
        <v>3.2952746501719301</v>
      </c>
      <c r="N172" s="832">
        <v>3.15820709890159</v>
      </c>
      <c r="O172" s="1069">
        <v>3.0045734817482699</v>
      </c>
      <c r="P172" s="734">
        <v>2.9968997870136702</v>
      </c>
      <c r="Q172" s="2056">
        <v>2.8789103050042</v>
      </c>
      <c r="R172" s="1070">
        <v>5.0902183129441596</v>
      </c>
      <c r="S172" s="1071">
        <v>4.5141004751724498</v>
      </c>
      <c r="T172" s="1047">
        <v>4.8275943033736697</v>
      </c>
    </row>
    <row r="173" spans="1:20">
      <c r="A173" t="s">
        <v>522</v>
      </c>
      <c r="B173" s="6" t="str">
        <f>HYPERLINK("http://www.ncbi.nlm.nih.gov/gene/19726", "19726")</f>
        <v>19726</v>
      </c>
      <c r="C173" s="6" t="str">
        <f>HYPERLINK("http://www.ncbi.nlm.nih.gov/gene/5991", "5991")</f>
        <v>5991</v>
      </c>
      <c r="D173" t="str">
        <f>"Rfx3"</f>
        <v>Rfx3</v>
      </c>
      <c r="E173" t="s">
        <v>523</v>
      </c>
      <c r="F173" t="s">
        <v>524</v>
      </c>
      <c r="H173" s="516">
        <v>2</v>
      </c>
      <c r="I173" s="61">
        <v>6.7880764189764804</v>
      </c>
      <c r="J173" s="26">
        <v>6.8046456850404597</v>
      </c>
      <c r="K173" s="35">
        <v>6.7983490549552803</v>
      </c>
      <c r="L173" s="1844">
        <v>6.8562756307989696</v>
      </c>
      <c r="M173" s="529">
        <v>6.9110237295222703</v>
      </c>
      <c r="N173" s="830">
        <v>7.0350670444596402</v>
      </c>
      <c r="O173" s="1072">
        <v>6.65732552456309</v>
      </c>
      <c r="P173" s="891">
        <v>6.7617353562287104</v>
      </c>
      <c r="Q173" s="2075">
        <v>6.5882050710131796</v>
      </c>
      <c r="R173" s="1003">
        <v>7.9219008633955097</v>
      </c>
      <c r="S173" s="675">
        <v>7.7503408374639298</v>
      </c>
      <c r="T173" s="1074">
        <v>7.7790977731067397</v>
      </c>
    </row>
    <row r="174" spans="1:20">
      <c r="A174" t="s">
        <v>525</v>
      </c>
      <c r="B174" s="6" t="str">
        <f>HYPERLINK("http://www.ncbi.nlm.nih.gov/gene/433904", "433904")</f>
        <v>433904</v>
      </c>
      <c r="C174" s="6" t="str">
        <f>HYPERLINK("http://www.ncbi.nlm.nih.gov/gene/132299", "132299")</f>
        <v>132299</v>
      </c>
      <c r="D174" t="str">
        <f>"Ociad2"</f>
        <v>Ociad2</v>
      </c>
      <c r="E174" t="s">
        <v>526</v>
      </c>
      <c r="F174" t="s">
        <v>551</v>
      </c>
      <c r="H174" s="516">
        <v>2</v>
      </c>
      <c r="I174" s="81">
        <v>4.95922622456062</v>
      </c>
      <c r="J174" s="36">
        <v>5.1144974338178004</v>
      </c>
      <c r="K174" s="192">
        <v>5.2831218928130799</v>
      </c>
      <c r="L174" s="1858">
        <v>4.9613841040190598</v>
      </c>
      <c r="M174" s="832">
        <v>5.1053720547573098</v>
      </c>
      <c r="N174" s="672">
        <v>5.3023855130468398</v>
      </c>
      <c r="O174" s="1075">
        <v>5.0371321271548499</v>
      </c>
      <c r="P174" s="703">
        <v>4.78109175314769</v>
      </c>
      <c r="Q174" s="2064">
        <v>5.0517989644741199</v>
      </c>
      <c r="R174" s="648">
        <v>6.1006929437909303</v>
      </c>
      <c r="S174" s="603">
        <v>6.1999452720808703</v>
      </c>
      <c r="T174" s="1076">
        <v>6.2377348066842604</v>
      </c>
    </row>
    <row r="175" spans="1:20">
      <c r="A175" t="s">
        <v>552</v>
      </c>
      <c r="B175" s="6" t="str">
        <f>HYPERLINK("http://www.ncbi.nlm.nih.gov/gene/19126", "19126")</f>
        <v>19126</v>
      </c>
      <c r="C175" s="6" t="str">
        <f>HYPERLINK("http://www.ncbi.nlm.nih.gov/gene/8842", "8842")</f>
        <v>8842</v>
      </c>
      <c r="D175" t="str">
        <f>"Prom1"</f>
        <v>Prom1</v>
      </c>
      <c r="E175" t="s">
        <v>553</v>
      </c>
      <c r="F175" t="s">
        <v>537</v>
      </c>
      <c r="H175" s="516">
        <v>2</v>
      </c>
      <c r="I175" s="69">
        <v>6.55243508534911</v>
      </c>
      <c r="J175" s="41">
        <v>6.4123134358292502</v>
      </c>
      <c r="K175" s="310">
        <v>6.6714933328311199</v>
      </c>
      <c r="L175" s="1893">
        <v>6.3502826858523704</v>
      </c>
      <c r="M175" s="1412">
        <v>6.1442854936121103</v>
      </c>
      <c r="N175" s="670">
        <v>6.5214402370287896</v>
      </c>
      <c r="O175" s="1077">
        <v>6.2215378753139801</v>
      </c>
      <c r="P175" s="708">
        <v>6.3848828459203597</v>
      </c>
      <c r="Q175" s="2076">
        <v>6.4074836478835699</v>
      </c>
      <c r="R175" s="777">
        <v>7.4032128456297102</v>
      </c>
      <c r="S175" s="608">
        <v>7.4579536407824101</v>
      </c>
      <c r="T175" s="1078">
        <v>7.3434482783761199</v>
      </c>
    </row>
    <row r="176" spans="1:20">
      <c r="A176" t="s">
        <v>538</v>
      </c>
      <c r="B176" s="6" t="str">
        <f>HYPERLINK("http://www.ncbi.nlm.nih.gov/gene/12837", "12837")</f>
        <v>12837</v>
      </c>
      <c r="C176" s="6" t="str">
        <f>HYPERLINK("http://www.ncbi.nlm.nih.gov/gene/1295", "1295")</f>
        <v>1295</v>
      </c>
      <c r="D176" t="str">
        <f>"Col8a1"</f>
        <v>Col8a1</v>
      </c>
      <c r="E176" t="s">
        <v>539</v>
      </c>
      <c r="F176" t="s">
        <v>540</v>
      </c>
      <c r="H176" s="516">
        <v>2</v>
      </c>
      <c r="I176" s="224">
        <v>4.9879923799136803</v>
      </c>
      <c r="J176" s="190">
        <v>4.9096748958460603</v>
      </c>
      <c r="K176" s="190">
        <v>4.9102415324806303</v>
      </c>
      <c r="L176" s="1854">
        <v>4.74172776440414</v>
      </c>
      <c r="M176" s="604">
        <v>4.7712292181289699</v>
      </c>
      <c r="N176" s="609">
        <v>4.7651539509377701</v>
      </c>
      <c r="O176" s="1079">
        <v>4.0418405319003101</v>
      </c>
      <c r="P176" s="537">
        <v>4.5576556923950298</v>
      </c>
      <c r="Q176" s="2044">
        <v>4.4707560497159804</v>
      </c>
      <c r="R176" s="1022">
        <v>6.4876667632389102</v>
      </c>
      <c r="S176" s="586">
        <v>6.44118188546165</v>
      </c>
      <c r="T176" s="1053">
        <v>6.5215722421129696</v>
      </c>
    </row>
    <row r="177" spans="1:20">
      <c r="A177" t="s">
        <v>541</v>
      </c>
      <c r="B177" s="6" t="str">
        <f>HYPERLINK("http://www.ncbi.nlm.nih.gov/gene/244813", "244813")</f>
        <v>244813</v>
      </c>
      <c r="C177" s="6" t="str">
        <f>HYPERLINK("http://www.ncbi.nlm.nih.gov/gene/390259", "390259")</f>
        <v>390259</v>
      </c>
      <c r="D177" t="str">
        <f>"Bsx"</f>
        <v>Bsx</v>
      </c>
      <c r="E177" t="s">
        <v>542</v>
      </c>
      <c r="F177" t="s">
        <v>559</v>
      </c>
      <c r="H177" s="516">
        <v>2</v>
      </c>
      <c r="I177" s="273">
        <v>4.10755680177133</v>
      </c>
      <c r="J177" s="129">
        <v>4.1515419052681004</v>
      </c>
      <c r="K177" s="110">
        <v>4.2592964437705296</v>
      </c>
      <c r="L177" s="2070">
        <v>4.0690959937870996</v>
      </c>
      <c r="M177" s="770">
        <v>4.6717966319068296</v>
      </c>
      <c r="N177" s="1109">
        <v>4.0507118224169396</v>
      </c>
      <c r="O177" s="1080">
        <v>4.1203801532300801</v>
      </c>
      <c r="P177" s="1081">
        <v>4.1358200889925101</v>
      </c>
      <c r="Q177" s="2077">
        <v>4.2928199086999896</v>
      </c>
      <c r="R177" s="1082">
        <v>5.0311762562148603</v>
      </c>
      <c r="S177" s="526">
        <v>5.5112673875302898</v>
      </c>
      <c r="T177" s="995">
        <v>5.2401953440443902</v>
      </c>
    </row>
    <row r="178" spans="1:20">
      <c r="A178" t="s">
        <v>560</v>
      </c>
      <c r="B178" s="6" t="str">
        <f>HYPERLINK("http://www.ncbi.nlm.nih.gov/gene/235379", "235379")</f>
        <v>235379</v>
      </c>
      <c r="C178" s="6" t="str">
        <f>HYPERLINK("http://www.ncbi.nlm.nih.gov/gene/342035", "342035")</f>
        <v>342035</v>
      </c>
      <c r="D178" t="str">
        <f>"Gldn"</f>
        <v>Gldn</v>
      </c>
      <c r="E178" t="s">
        <v>561</v>
      </c>
      <c r="F178" t="s">
        <v>544</v>
      </c>
      <c r="H178" s="516">
        <v>2</v>
      </c>
      <c r="I178" s="98">
        <v>2.6784566270973902</v>
      </c>
      <c r="J178" s="111">
        <v>2.7824932306841101</v>
      </c>
      <c r="K178" s="50">
        <v>2.6919561110897301</v>
      </c>
      <c r="L178" s="2078">
        <v>2.8978133470323999</v>
      </c>
      <c r="M178" s="1251">
        <v>3.1901641594183299</v>
      </c>
      <c r="N178" s="1153">
        <v>2.3886405191420699</v>
      </c>
      <c r="O178" s="1083">
        <v>2.4274690105461598</v>
      </c>
      <c r="P178" s="592">
        <v>2.75522741516972</v>
      </c>
      <c r="Q178" s="2079">
        <v>2.78815669265733</v>
      </c>
      <c r="R178" s="804">
        <v>4.1481039935448596</v>
      </c>
      <c r="S178" s="1018">
        <v>4.5105179330104104</v>
      </c>
      <c r="T178" s="1084">
        <v>4.1441455656519999</v>
      </c>
    </row>
    <row r="179" spans="1:20">
      <c r="A179" t="s">
        <v>545</v>
      </c>
      <c r="B179" s="6" t="str">
        <f>HYPERLINK("http://www.ncbi.nlm.nih.gov/gene/20708", "20708")</f>
        <v>20708</v>
      </c>
      <c r="C179" s="6" t="str">
        <f>HYPERLINK("http://www.ncbi.nlm.nih.gov/gene/", "")</f>
        <v/>
      </c>
      <c r="D179" t="str">
        <f>"Serpinb6b"</f>
        <v>Serpinb6b</v>
      </c>
      <c r="E179" t="s">
        <v>546</v>
      </c>
      <c r="F179" t="s">
        <v>547</v>
      </c>
      <c r="G179" t="s">
        <v>548</v>
      </c>
      <c r="H179" s="516">
        <v>2</v>
      </c>
      <c r="I179" s="425">
        <v>3.7541403737915702</v>
      </c>
      <c r="J179" s="130">
        <v>2.7987421430877899</v>
      </c>
      <c r="K179" s="134">
        <v>3.3787760314148101</v>
      </c>
      <c r="L179" s="2080">
        <v>2.7231256005740798</v>
      </c>
      <c r="M179" s="726">
        <v>3.4116953304058701</v>
      </c>
      <c r="N179" s="1550">
        <v>2.63936635946507</v>
      </c>
      <c r="O179" s="1051">
        <v>3.0418111844407898</v>
      </c>
      <c r="P179" s="594">
        <v>3.1060964764894399</v>
      </c>
      <c r="Q179" s="2081">
        <v>2.9798253927606</v>
      </c>
      <c r="R179" s="686">
        <v>4.6227795349139003</v>
      </c>
      <c r="S179" s="607">
        <v>4.6494843996216098</v>
      </c>
      <c r="T179" s="1078">
        <v>4.5790925462205498</v>
      </c>
    </row>
    <row r="180" spans="1:20">
      <c r="A180" t="s">
        <v>549</v>
      </c>
      <c r="B180" s="6" t="str">
        <f>HYPERLINK("http://www.ncbi.nlm.nih.gov/gene/19668", "19668")</f>
        <v>19668</v>
      </c>
      <c r="C180" s="6" t="str">
        <f>HYPERLINK("http://www.ncbi.nlm.nih.gov/gene/11317", "11317")</f>
        <v>11317</v>
      </c>
      <c r="D180" t="str">
        <f>"Rbpjl"</f>
        <v>Rbpjl</v>
      </c>
      <c r="E180" t="s">
        <v>550</v>
      </c>
      <c r="F180" t="s">
        <v>571</v>
      </c>
      <c r="G180" t="s">
        <v>572</v>
      </c>
      <c r="H180" s="516">
        <v>2</v>
      </c>
      <c r="I180" s="87">
        <v>4.0864041559584603</v>
      </c>
      <c r="J180" s="99">
        <v>4.1198446143377501</v>
      </c>
      <c r="K180" s="180">
        <v>3.7321317852636202</v>
      </c>
      <c r="L180" s="2082">
        <v>4.2482993934692601</v>
      </c>
      <c r="M180" s="672">
        <v>4.2687722818173102</v>
      </c>
      <c r="N180" s="544">
        <v>3.9370995963192299</v>
      </c>
      <c r="O180" s="1085">
        <v>3.67527278786411</v>
      </c>
      <c r="P180" s="636">
        <v>4.01837996377136</v>
      </c>
      <c r="Q180" s="2083">
        <v>4.0997882814527298</v>
      </c>
      <c r="R180" s="810">
        <v>5.3149966864375902</v>
      </c>
      <c r="S180" s="558">
        <v>5.0752530744093702</v>
      </c>
      <c r="T180" s="1061">
        <v>5.1722777741703698</v>
      </c>
    </row>
    <row r="181" spans="1:20">
      <c r="A181" t="s">
        <v>573</v>
      </c>
      <c r="B181" s="6" t="str">
        <f>HYPERLINK("http://www.ncbi.nlm.nih.gov/gene/93735", "93735")</f>
        <v>93735</v>
      </c>
      <c r="C181" s="6" t="str">
        <f>HYPERLINK("http://www.ncbi.nlm.nih.gov/gene/51384", "51384")</f>
        <v>51384</v>
      </c>
      <c r="D181" t="str">
        <f>"Wnt16"</f>
        <v>Wnt16</v>
      </c>
      <c r="E181" t="s">
        <v>574</v>
      </c>
      <c r="F181" t="s">
        <v>554</v>
      </c>
      <c r="G181" t="s">
        <v>252</v>
      </c>
      <c r="H181" s="516">
        <v>2</v>
      </c>
      <c r="I181" s="45">
        <v>3.7643690859361398</v>
      </c>
      <c r="J181" s="434">
        <v>4.2075440504505304</v>
      </c>
      <c r="K181" s="248">
        <v>3.32256410086217</v>
      </c>
      <c r="L181" s="2084">
        <v>3.4000367836199299</v>
      </c>
      <c r="M181" s="1291">
        <v>3.7139074864012702</v>
      </c>
      <c r="N181" s="1281">
        <v>3.32256410086217</v>
      </c>
      <c r="O181" s="1086">
        <v>3.32256410086217</v>
      </c>
      <c r="P181" s="1087">
        <v>3.3317359645787699</v>
      </c>
      <c r="Q181" s="2085">
        <v>3.97848990328482</v>
      </c>
      <c r="R181" s="640">
        <v>5.1277594719904602</v>
      </c>
      <c r="S181" s="718">
        <v>4.9133171949447503</v>
      </c>
      <c r="T181" s="1088">
        <v>4.7722223209929098</v>
      </c>
    </row>
    <row r="182" spans="1:20">
      <c r="A182" t="s">
        <v>555</v>
      </c>
      <c r="B182" s="6" t="str">
        <f>HYPERLINK("http://www.ncbi.nlm.nih.gov/gene/497097", "497097")</f>
        <v>497097</v>
      </c>
      <c r="C182" s="6" t="str">
        <f>HYPERLINK("http://www.ncbi.nlm.nih.gov/gene/114786", "114786")</f>
        <v>114786</v>
      </c>
      <c r="D182" t="str">
        <f>"Xkr4"</f>
        <v>Xkr4</v>
      </c>
      <c r="E182" t="s">
        <v>556</v>
      </c>
      <c r="F182" t="s">
        <v>37</v>
      </c>
      <c r="H182" s="516">
        <v>2</v>
      </c>
      <c r="I182" s="160">
        <v>3.5560469485523098</v>
      </c>
      <c r="J182" s="310">
        <v>4.0320437364998698</v>
      </c>
      <c r="K182" s="98">
        <v>3.5705362845581301</v>
      </c>
      <c r="L182" s="1955">
        <v>3.6637427726006901</v>
      </c>
      <c r="M182" s="1179">
        <v>3.3942463812483101</v>
      </c>
      <c r="N182" s="1169">
        <v>2.87505776861151</v>
      </c>
      <c r="O182" s="1089">
        <v>3.47382794926942</v>
      </c>
      <c r="P182" s="1090">
        <v>4.1907970584137901</v>
      </c>
      <c r="Q182" s="2086">
        <v>4.1400799884417703</v>
      </c>
      <c r="R182" s="753">
        <v>4.9565969791966298</v>
      </c>
      <c r="S182" s="591">
        <v>5.3810375817925804</v>
      </c>
      <c r="T182" s="1008">
        <v>4.8497023409436499</v>
      </c>
    </row>
    <row r="183" spans="1:20">
      <c r="A183" t="s">
        <v>557</v>
      </c>
      <c r="B183" s="6" t="str">
        <f>HYPERLINK("http://www.ncbi.nlm.nih.gov/gene/100040591", "100040591")</f>
        <v>100040591</v>
      </c>
      <c r="C183" s="6" t="str">
        <f>HYPERLINK("http://www.ncbi.nlm.nih.gov/gene/3769", "3769")</f>
        <v>3769</v>
      </c>
      <c r="D183" t="str">
        <f>"Kcnj13"</f>
        <v>Kcnj13</v>
      </c>
      <c r="E183" t="s">
        <v>558</v>
      </c>
      <c r="F183" t="s">
        <v>562</v>
      </c>
      <c r="G183" t="s">
        <v>563</v>
      </c>
      <c r="H183" s="516">
        <v>2</v>
      </c>
      <c r="I183" s="350">
        <v>2.4652319980856601</v>
      </c>
      <c r="J183" s="98">
        <v>2.9487915231587398</v>
      </c>
      <c r="K183" s="25">
        <v>2.96559871492311</v>
      </c>
      <c r="L183" s="2070">
        <v>2.7641192819368898</v>
      </c>
      <c r="M183" s="655">
        <v>3.1732391290064701</v>
      </c>
      <c r="N183" s="669">
        <v>3.0896135311073301</v>
      </c>
      <c r="O183" s="1091">
        <v>2.7850707372699701</v>
      </c>
      <c r="P183" s="690">
        <v>3.5007259738401002</v>
      </c>
      <c r="Q183" s="2087">
        <v>3.43453982492264</v>
      </c>
      <c r="R183" s="675">
        <v>4.8992262511190399</v>
      </c>
      <c r="S183" s="1070">
        <v>5.3796105121439597</v>
      </c>
      <c r="T183" s="1092">
        <v>4.6932049808165397</v>
      </c>
    </row>
    <row r="184" spans="1:20">
      <c r="A184" t="s">
        <v>564</v>
      </c>
      <c r="B184" s="6" t="str">
        <f>HYPERLINK("http://www.ncbi.nlm.nih.gov/gene/12564", "12564")</f>
        <v>12564</v>
      </c>
      <c r="C184" s="6" t="str">
        <f>HYPERLINK("http://www.ncbi.nlm.nih.gov/gene/1006", "1006")</f>
        <v>1006</v>
      </c>
      <c r="D184" t="str">
        <f>"Cdh8"</f>
        <v>Cdh8</v>
      </c>
      <c r="E184" t="s">
        <v>565</v>
      </c>
      <c r="F184" t="s">
        <v>445</v>
      </c>
      <c r="H184" s="516">
        <v>2</v>
      </c>
      <c r="I184" s="58">
        <v>3.6006029041593002</v>
      </c>
      <c r="J184" s="182">
        <v>3.7640344104589301</v>
      </c>
      <c r="K184" s="24">
        <v>3.4442023434921398</v>
      </c>
      <c r="L184" s="2088">
        <v>3.70679469633248</v>
      </c>
      <c r="M184" s="1343">
        <v>3.7549658641947001</v>
      </c>
      <c r="N184" s="876">
        <v>3.3482084880141301</v>
      </c>
      <c r="O184" s="1093">
        <v>4.1756626981631397</v>
      </c>
      <c r="P184" s="658">
        <v>4.5576511551750798</v>
      </c>
      <c r="Q184" s="2053">
        <v>4.0286517855442403</v>
      </c>
      <c r="R184" s="598">
        <v>7.3234096339582297</v>
      </c>
      <c r="S184" s="868">
        <v>7.4901160967203699</v>
      </c>
      <c r="T184" s="1047">
        <v>7.4552417053275404</v>
      </c>
    </row>
    <row r="185" spans="1:20">
      <c r="A185" t="s">
        <v>566</v>
      </c>
      <c r="B185" s="6" t="str">
        <f>HYPERLINK("http://www.ncbi.nlm.nih.gov/gene/13483", "13483")</f>
        <v>13483</v>
      </c>
      <c r="C185" s="6" t="str">
        <f>HYPERLINK("http://www.ncbi.nlm.nih.gov/gene/1804", "1804")</f>
        <v>1804</v>
      </c>
      <c r="D185" t="str">
        <f>"Dpp6"</f>
        <v>Dpp6</v>
      </c>
      <c r="E185" t="s">
        <v>567</v>
      </c>
      <c r="F185" t="s">
        <v>568</v>
      </c>
      <c r="H185" s="516">
        <v>2</v>
      </c>
      <c r="I185" s="98">
        <v>3.6516561045052298</v>
      </c>
      <c r="J185" s="127">
        <v>3.3163134228958402</v>
      </c>
      <c r="K185" s="34">
        <v>3.4933272142743599</v>
      </c>
      <c r="L185" s="2089">
        <v>3.6062457781121702</v>
      </c>
      <c r="M185" s="1037">
        <v>3.4344184890807501</v>
      </c>
      <c r="N185" s="1007">
        <v>3.36908034033566</v>
      </c>
      <c r="O185" s="1094">
        <v>4.1840837730364804</v>
      </c>
      <c r="P185" s="550">
        <v>4.2599746305472204</v>
      </c>
      <c r="Q185" s="2090">
        <v>4.4444069354630997</v>
      </c>
      <c r="R185" s="666">
        <v>7.0421882842866701</v>
      </c>
      <c r="S185" s="815">
        <v>7.3802009155781301</v>
      </c>
      <c r="T185" s="1096">
        <v>7.1062048023006303</v>
      </c>
    </row>
    <row r="186" spans="1:20">
      <c r="A186" t="s">
        <v>569</v>
      </c>
      <c r="B186" s="6" t="str">
        <f>HYPERLINK("http://www.ncbi.nlm.nih.gov/gene/20423", "20423")</f>
        <v>20423</v>
      </c>
      <c r="C186" s="6" t="str">
        <f>HYPERLINK("http://www.ncbi.nlm.nih.gov/gene/6469", "6469")</f>
        <v>6469</v>
      </c>
      <c r="D186" t="str">
        <f>"Shh"</f>
        <v>Shh</v>
      </c>
      <c r="E186" t="s">
        <v>570</v>
      </c>
      <c r="F186" t="s">
        <v>575</v>
      </c>
      <c r="G186" t="s">
        <v>135</v>
      </c>
      <c r="H186" s="516">
        <v>2</v>
      </c>
      <c r="I186" s="88">
        <v>2.8952230458423198</v>
      </c>
      <c r="J186" s="194">
        <v>2.8928754235235199</v>
      </c>
      <c r="K186" s="237">
        <v>2.6681510560985</v>
      </c>
      <c r="L186" s="2037">
        <v>3.1979680279215801</v>
      </c>
      <c r="M186" s="1002">
        <v>2.9981441551423802</v>
      </c>
      <c r="N186" s="1332">
        <v>2.6572870510632498</v>
      </c>
      <c r="O186" s="1097">
        <v>3.4619267359618102</v>
      </c>
      <c r="P186" s="916">
        <v>4.1554277764570804</v>
      </c>
      <c r="Q186" s="2091">
        <v>3.77485059525866</v>
      </c>
      <c r="R186" s="598">
        <v>5.9232528723266196</v>
      </c>
      <c r="S186" s="678">
        <v>6.0342802203133399</v>
      </c>
      <c r="T186" s="1098">
        <v>5.8166378854558101</v>
      </c>
    </row>
    <row r="187" spans="1:20">
      <c r="A187" t="s">
        <v>582</v>
      </c>
      <c r="B187" s="6" t="str">
        <f>HYPERLINK("http://www.ncbi.nlm.nih.gov/gene/12405", "12405")</f>
        <v>12405</v>
      </c>
      <c r="C187" s="6" t="str">
        <f>HYPERLINK("http://www.ncbi.nlm.nih.gov/gene/147381", "147381")</f>
        <v>147381</v>
      </c>
      <c r="D187" t="str">
        <f>"Cbln2"</f>
        <v>Cbln2</v>
      </c>
      <c r="E187" t="s">
        <v>583</v>
      </c>
      <c r="F187" t="s">
        <v>584</v>
      </c>
      <c r="H187" s="516">
        <v>2</v>
      </c>
      <c r="I187" s="106">
        <v>2.4295009426962602</v>
      </c>
      <c r="J187" s="104">
        <v>3.5961152953216202</v>
      </c>
      <c r="K187" s="53">
        <v>3.2439215499087402</v>
      </c>
      <c r="L187" s="2092">
        <v>2.9094959808913199</v>
      </c>
      <c r="M187" s="708">
        <v>3.24957962353513</v>
      </c>
      <c r="N187" s="619">
        <v>3.0353944621660198</v>
      </c>
      <c r="O187" s="1099">
        <v>4.2972908264438301</v>
      </c>
      <c r="P187" s="1100">
        <v>4.2642370581369597</v>
      </c>
      <c r="Q187" s="2093">
        <v>3.0231680716238398</v>
      </c>
      <c r="R187" s="698">
        <v>6.3453417931604497</v>
      </c>
      <c r="S187" s="547">
        <v>6.8895833645979003</v>
      </c>
      <c r="T187" s="1101">
        <v>6.4848611616982099</v>
      </c>
    </row>
    <row r="188" spans="1:20">
      <c r="A188" t="s">
        <v>585</v>
      </c>
      <c r="B188" s="6" t="str">
        <f>HYPERLINK("http://www.ncbi.nlm.nih.gov/gene/12020", "12020")</f>
        <v>12020</v>
      </c>
      <c r="C188" s="6" t="str">
        <f>HYPERLINK("http://www.ncbi.nlm.nih.gov/gene/579", "579")</f>
        <v>579</v>
      </c>
      <c r="D188" t="str">
        <f>"Nkx3-2"</f>
        <v>Nkx3-2</v>
      </c>
      <c r="E188" t="s">
        <v>586</v>
      </c>
      <c r="F188" t="s">
        <v>599</v>
      </c>
      <c r="H188" s="516">
        <v>2</v>
      </c>
      <c r="I188" s="130">
        <v>4.5241312339245701</v>
      </c>
      <c r="J188" s="110">
        <v>4.8589899876313698</v>
      </c>
      <c r="K188" s="36">
        <v>4.8400397024053596</v>
      </c>
      <c r="L188" s="1835">
        <v>4.7776497350461096</v>
      </c>
      <c r="M188" s="720">
        <v>5.1782828623118702</v>
      </c>
      <c r="N188" s="1447">
        <v>4.2859641521285301</v>
      </c>
      <c r="O188" s="1102">
        <v>4.7817133249041399</v>
      </c>
      <c r="P188" s="746">
        <v>5.13357663297435</v>
      </c>
      <c r="Q188" s="2035">
        <v>4.6821004751630504</v>
      </c>
      <c r="R188" s="598">
        <v>6.2435004476053697</v>
      </c>
      <c r="S188" s="777">
        <v>6.2543721490369197</v>
      </c>
      <c r="T188" s="1103">
        <v>6.2188799686580598</v>
      </c>
    </row>
    <row r="189" spans="1:20">
      <c r="A189" t="s">
        <v>600</v>
      </c>
      <c r="B189" s="6" t="str">
        <f>HYPERLINK("http://www.ncbi.nlm.nih.gov/gene/242083", "242083")</f>
        <v>242083</v>
      </c>
      <c r="C189" s="6" t="str">
        <f>HYPERLINK("http://www.ncbi.nlm.nih.gov/gene/151742", "151742")</f>
        <v>151742</v>
      </c>
      <c r="D189" t="str">
        <f>"Ppm1l"</f>
        <v>Ppm1l</v>
      </c>
      <c r="E189" t="s">
        <v>601</v>
      </c>
      <c r="F189" t="s">
        <v>593</v>
      </c>
      <c r="H189" s="516">
        <v>2</v>
      </c>
      <c r="I189" s="465">
        <v>5.6303294531308099</v>
      </c>
      <c r="J189" s="44">
        <v>5.3585491910374703</v>
      </c>
      <c r="K189" s="36">
        <v>5.3154498190093697</v>
      </c>
      <c r="L189" s="2094">
        <v>4.8539624296752004</v>
      </c>
      <c r="M189" s="1442">
        <v>4.9196993263233004</v>
      </c>
      <c r="N189" s="592">
        <v>5.2831192901006503</v>
      </c>
      <c r="O189" s="1104">
        <v>5.3596683955102602</v>
      </c>
      <c r="P189" s="699">
        <v>5.37182634553439</v>
      </c>
      <c r="Q189" s="2083">
        <v>5.3568099434726504</v>
      </c>
      <c r="R189" s="823">
        <v>6.3643829957684996</v>
      </c>
      <c r="S189" s="1105">
        <v>6.7428583844174499</v>
      </c>
      <c r="T189" s="1050">
        <v>6.4852757874328999</v>
      </c>
    </row>
    <row r="190" spans="1:20">
      <c r="A190" t="s">
        <v>594</v>
      </c>
      <c r="B190" s="6" t="str">
        <f>HYPERLINK("http://www.ncbi.nlm.nih.gov/gene/110075", "110075")</f>
        <v>110075</v>
      </c>
      <c r="C190" s="6" t="str">
        <f>HYPERLINK("http://www.ncbi.nlm.nih.gov/gene/651", "651")</f>
        <v>651</v>
      </c>
      <c r="D190" t="str">
        <f>"Bmp3"</f>
        <v>Bmp3</v>
      </c>
      <c r="E190" t="s">
        <v>595</v>
      </c>
      <c r="F190" t="s">
        <v>596</v>
      </c>
      <c r="H190" s="516">
        <v>2</v>
      </c>
      <c r="I190" s="42">
        <v>3.7160429819058098</v>
      </c>
      <c r="J190" s="69">
        <v>3.7295362078586001</v>
      </c>
      <c r="K190" s="123">
        <v>3.3951498949990402</v>
      </c>
      <c r="L190" s="1850">
        <v>3.5120870018253001</v>
      </c>
      <c r="M190" s="1167">
        <v>3.2456641132299602</v>
      </c>
      <c r="N190" s="687">
        <v>3.6753255956270801</v>
      </c>
      <c r="O190" s="1106">
        <v>3.6512650116678902</v>
      </c>
      <c r="P190" s="688">
        <v>3.4382976587995202</v>
      </c>
      <c r="Q190" s="2095">
        <v>3.56785055277104</v>
      </c>
      <c r="R190" s="902">
        <v>4.5167466855522997</v>
      </c>
      <c r="S190" s="613">
        <v>5.0083426532472002</v>
      </c>
      <c r="T190" s="1107">
        <v>4.8216267006137796</v>
      </c>
    </row>
    <row r="191" spans="1:20">
      <c r="A191" t="s">
        <v>597</v>
      </c>
      <c r="B191" s="6" t="str">
        <f>HYPERLINK("http://www.ncbi.nlm.nih.gov/gene/13371", "13371")</f>
        <v>13371</v>
      </c>
      <c r="C191" s="6" t="str">
        <f>HYPERLINK("http://www.ncbi.nlm.nih.gov/gene/1734", "1734")</f>
        <v>1734</v>
      </c>
      <c r="D191" t="str">
        <f>"Dio2"</f>
        <v>Dio2</v>
      </c>
      <c r="E191" t="s">
        <v>598</v>
      </c>
      <c r="F191" t="s">
        <v>576</v>
      </c>
      <c r="H191" s="516">
        <v>2</v>
      </c>
      <c r="I191" s="133">
        <v>4.6752878869651804</v>
      </c>
      <c r="J191" s="237">
        <v>3.8792346632340302</v>
      </c>
      <c r="K191" s="126">
        <v>4.4320322113594699</v>
      </c>
      <c r="L191" s="2072">
        <v>3.8757700983608401</v>
      </c>
      <c r="M191" s="1448">
        <v>3.62425429642138</v>
      </c>
      <c r="N191" s="1037">
        <v>4.0646601774278501</v>
      </c>
      <c r="O191" s="989">
        <v>4.3202126032850403</v>
      </c>
      <c r="P191" s="746">
        <v>4.7814049768169697</v>
      </c>
      <c r="Q191" s="2096">
        <v>4.9837484181510598</v>
      </c>
      <c r="R191" s="559">
        <v>6.0462093432573001</v>
      </c>
      <c r="S191" s="653">
        <v>6.54518585150117</v>
      </c>
      <c r="T191" s="1026">
        <v>6.39338050213453</v>
      </c>
    </row>
    <row r="192" spans="1:20">
      <c r="A192" t="s">
        <v>577</v>
      </c>
      <c r="B192" s="6" t="str">
        <f>HYPERLINK("http://www.ncbi.nlm.nih.gov/gene/208618", "208618")</f>
        <v>208618</v>
      </c>
      <c r="C192" s="6" t="str">
        <f>HYPERLINK("http://www.ncbi.nlm.nih.gov/gene/56243", "56243")</f>
        <v>56243</v>
      </c>
      <c r="D192" t="str">
        <f>"Etl4"</f>
        <v>Etl4</v>
      </c>
      <c r="E192" t="s">
        <v>578</v>
      </c>
      <c r="F192" t="s">
        <v>579</v>
      </c>
      <c r="H192" s="516">
        <v>2</v>
      </c>
      <c r="I192" s="282">
        <v>7.5400365926779003</v>
      </c>
      <c r="J192" s="69">
        <v>7.2652673613399603</v>
      </c>
      <c r="K192" s="192">
        <v>7.3193433575441604</v>
      </c>
      <c r="L192" s="1865">
        <v>7.0337703092019002</v>
      </c>
      <c r="M192" s="662">
        <v>7.0834247403572101</v>
      </c>
      <c r="N192" s="1340">
        <v>6.9429357171019497</v>
      </c>
      <c r="O192" s="1108">
        <v>6.9342819811740304</v>
      </c>
      <c r="P192" s="1002">
        <v>7.0499225890198796</v>
      </c>
      <c r="Q192" s="2097">
        <v>6.9765217495145997</v>
      </c>
      <c r="R192" s="526">
        <v>8.3841564094801608</v>
      </c>
      <c r="S192" s="761">
        <v>8.0271045603952</v>
      </c>
      <c r="T192" s="1110">
        <v>7.9670957980577501</v>
      </c>
    </row>
    <row r="193" spans="1:20">
      <c r="A193" t="s">
        <v>580</v>
      </c>
      <c r="B193" s="6" t="str">
        <f>HYPERLINK("http://www.ncbi.nlm.nih.gov/gene/77976", "77976")</f>
        <v>77976</v>
      </c>
      <c r="C193" s="6" t="str">
        <f>HYPERLINK("http://www.ncbi.nlm.nih.gov/gene/9891", "9891")</f>
        <v>9891</v>
      </c>
      <c r="D193" t="str">
        <f>"Nuak1"</f>
        <v>Nuak1</v>
      </c>
      <c r="E193" t="s">
        <v>581</v>
      </c>
      <c r="F193" t="s">
        <v>587</v>
      </c>
      <c r="H193" s="516">
        <v>2</v>
      </c>
      <c r="I193" s="344">
        <v>7.8733640730649501</v>
      </c>
      <c r="J193" s="330">
        <v>7.7422922492092896</v>
      </c>
      <c r="K193" s="218">
        <v>7.6975315921830498</v>
      </c>
      <c r="L193" s="2098">
        <v>6.8329246841349098</v>
      </c>
      <c r="M193" s="578">
        <v>6.9912685852576599</v>
      </c>
      <c r="N193" s="1138">
        <v>6.7527031867765501</v>
      </c>
      <c r="O193" s="1039">
        <v>7.3190971597811503</v>
      </c>
      <c r="P193" s="699">
        <v>7.4613136977153403</v>
      </c>
      <c r="Q193" s="2099">
        <v>7.5117534104096801</v>
      </c>
      <c r="R193" s="652">
        <v>9.0048831909600295</v>
      </c>
      <c r="S193" s="675">
        <v>8.8461732447966295</v>
      </c>
      <c r="T193" s="988">
        <v>8.6910616085277095</v>
      </c>
    </row>
    <row r="194" spans="1:20">
      <c r="A194" t="s">
        <v>588</v>
      </c>
      <c r="B194" s="6" t="str">
        <f>HYPERLINK("http://www.ncbi.nlm.nih.gov/gene/330222", "330222")</f>
        <v>330222</v>
      </c>
      <c r="C194" s="6" t="str">
        <f>HYPERLINK("http://www.ncbi.nlm.nih.gov/gene/221935", "221935")</f>
        <v>221935</v>
      </c>
      <c r="D194" t="str">
        <f>"Sdk1"</f>
        <v>Sdk1</v>
      </c>
      <c r="E194" t="s">
        <v>589</v>
      </c>
      <c r="F194" t="s">
        <v>590</v>
      </c>
      <c r="H194" s="516">
        <v>2</v>
      </c>
      <c r="I194" s="408">
        <v>5.9785735996632097</v>
      </c>
      <c r="J194" s="82">
        <v>5.7899843822478001</v>
      </c>
      <c r="K194" s="185">
        <v>5.8666387389913996</v>
      </c>
      <c r="L194" s="2100">
        <v>5.2154478170888403</v>
      </c>
      <c r="M194" s="1161">
        <v>5.0944899570869202</v>
      </c>
      <c r="N194" s="1439">
        <v>5.22969524705948</v>
      </c>
      <c r="O194" s="986">
        <v>5.44315844046002</v>
      </c>
      <c r="P194" s="708">
        <v>5.4685767363264004</v>
      </c>
      <c r="Q194" s="2101">
        <v>5.5927715470383497</v>
      </c>
      <c r="R194" s="711">
        <v>6.8072135499551001</v>
      </c>
      <c r="S194" s="559">
        <v>6.5079631416322696</v>
      </c>
      <c r="T194" s="1111">
        <v>6.5938239423932803</v>
      </c>
    </row>
    <row r="195" spans="1:20">
      <c r="A195" t="s">
        <v>591</v>
      </c>
      <c r="B195" s="6" t="str">
        <f>HYPERLINK("http://www.ncbi.nlm.nih.gov/gene/11303", "11303")</f>
        <v>11303</v>
      </c>
      <c r="C195" s="6" t="str">
        <f>HYPERLINK("http://www.ncbi.nlm.nih.gov/gene/19", "19")</f>
        <v>19</v>
      </c>
      <c r="D195" t="str">
        <f>"Abca1"</f>
        <v>Abca1</v>
      </c>
      <c r="E195" t="s">
        <v>592</v>
      </c>
      <c r="F195" t="s">
        <v>602</v>
      </c>
      <c r="G195" t="s">
        <v>626</v>
      </c>
      <c r="H195" s="516">
        <v>2</v>
      </c>
      <c r="I195" s="69">
        <v>6.8154973556626599</v>
      </c>
      <c r="J195" s="68">
        <v>6.6445696039078204</v>
      </c>
      <c r="K195" s="182">
        <v>6.5779636308563996</v>
      </c>
      <c r="L195" s="2102">
        <v>6.2858778326694296</v>
      </c>
      <c r="M195" s="622">
        <v>6.5540096507717802</v>
      </c>
      <c r="N195" s="1337">
        <v>6.2726092827624997</v>
      </c>
      <c r="O195" s="1112">
        <v>6.8101385206900504</v>
      </c>
      <c r="P195" s="600">
        <v>6.6946484273749096</v>
      </c>
      <c r="Q195" s="2103">
        <v>6.8086524811550104</v>
      </c>
      <c r="R195" s="621">
        <v>8.2071232272089496</v>
      </c>
      <c r="S195" s="590">
        <v>7.87508834118342</v>
      </c>
      <c r="T195" s="1113">
        <v>7.9627482510913303</v>
      </c>
    </row>
    <row r="196" spans="1:20">
      <c r="A196" t="s">
        <v>627</v>
      </c>
      <c r="B196" s="6" t="str">
        <f>HYPERLINK("http://www.ncbi.nlm.nih.gov/gene/16774", "16774")</f>
        <v>16774</v>
      </c>
      <c r="C196" s="6" t="str">
        <f>HYPERLINK("http://www.ncbi.nlm.nih.gov/gene/3909", "3909")</f>
        <v>3909</v>
      </c>
      <c r="D196" t="str">
        <f>"Lama3"</f>
        <v>Lama3</v>
      </c>
      <c r="E196" t="s">
        <v>628</v>
      </c>
      <c r="F196" t="s">
        <v>620</v>
      </c>
      <c r="G196" t="s">
        <v>621</v>
      </c>
      <c r="H196" s="516">
        <v>2</v>
      </c>
      <c r="I196" s="187">
        <v>4.1596812698727597</v>
      </c>
      <c r="J196" s="202">
        <v>4.0638387960474098</v>
      </c>
      <c r="K196" s="96">
        <v>3.85175877266524</v>
      </c>
      <c r="L196" s="2070">
        <v>3.46147475566343</v>
      </c>
      <c r="M196" s="891">
        <v>3.63954261256431</v>
      </c>
      <c r="N196" s="1037">
        <v>3.5097542473610202</v>
      </c>
      <c r="O196" s="1114">
        <v>3.6530693690810701</v>
      </c>
      <c r="P196" s="864">
        <v>3.45384265178448</v>
      </c>
      <c r="Q196" s="2104">
        <v>3.7308580013260602</v>
      </c>
      <c r="R196" s="547">
        <v>6.2472918210006796</v>
      </c>
      <c r="S196" s="837">
        <v>5.9328596492917098</v>
      </c>
      <c r="T196" s="1115">
        <v>6.1125706462137801</v>
      </c>
    </row>
    <row r="197" spans="1:20">
      <c r="A197" t="s">
        <v>622</v>
      </c>
      <c r="B197" s="6" t="str">
        <f>HYPERLINK("http://www.ncbi.nlm.nih.gov/gene/338352", "338352")</f>
        <v>338352</v>
      </c>
      <c r="C197" s="6" t="str">
        <f>HYPERLINK("http://www.ncbi.nlm.nih.gov/gene/4745", "4745")</f>
        <v>4745</v>
      </c>
      <c r="D197" t="str">
        <f>"Nell1"</f>
        <v>Nell1</v>
      </c>
      <c r="E197" t="s">
        <v>623</v>
      </c>
      <c r="F197" t="s">
        <v>629</v>
      </c>
      <c r="H197" s="516">
        <v>2</v>
      </c>
      <c r="I197" s="190">
        <v>6.2077783615940199</v>
      </c>
      <c r="J197" s="266">
        <v>6.3330492646879497</v>
      </c>
      <c r="K197" s="42">
        <v>6.2251315301880599</v>
      </c>
      <c r="L197" s="2072">
        <v>5.6630632605273501</v>
      </c>
      <c r="M197" s="561">
        <v>5.8114669032171502</v>
      </c>
      <c r="N197" s="1109">
        <v>5.7555742091352098</v>
      </c>
      <c r="O197" s="1046">
        <v>5.9331707141540502</v>
      </c>
      <c r="P197" s="641">
        <v>5.7986528791991301</v>
      </c>
      <c r="Q197" s="2067">
        <v>6.1180552768287901</v>
      </c>
      <c r="R197" s="707">
        <v>7.6432424723491001</v>
      </c>
      <c r="S197" s="582">
        <v>7.7554850397270796</v>
      </c>
      <c r="T197" s="1116">
        <v>7.81070606698907</v>
      </c>
    </row>
    <row r="198" spans="1:20">
      <c r="A198" t="s">
        <v>630</v>
      </c>
      <c r="B198" s="6" t="str">
        <f>HYPERLINK("http://www.ncbi.nlm.nih.gov/gene/209378", "209378")</f>
        <v>209378</v>
      </c>
      <c r="C198" s="6" t="str">
        <f>HYPERLINK("http://www.ncbi.nlm.nih.gov/gene/80760", "80760")</f>
        <v>80760</v>
      </c>
      <c r="D198" t="str">
        <f>"Itih5"</f>
        <v>Itih5</v>
      </c>
      <c r="E198" t="s">
        <v>631</v>
      </c>
      <c r="F198" t="s">
        <v>608</v>
      </c>
      <c r="H198" s="516">
        <v>2</v>
      </c>
      <c r="I198" s="44">
        <v>3.9393487751754699</v>
      </c>
      <c r="J198" s="353">
        <v>4.0662904051482203</v>
      </c>
      <c r="K198" s="204">
        <v>3.9713245473709202</v>
      </c>
      <c r="L198" s="2105">
        <v>3.51422516569095</v>
      </c>
      <c r="M198" s="876">
        <v>3.57751370806103</v>
      </c>
      <c r="N198" s="555">
        <v>3.5236516783567802</v>
      </c>
      <c r="O198" s="1117">
        <v>3.8113546619312899</v>
      </c>
      <c r="P198" s="891">
        <v>3.7472280886576899</v>
      </c>
      <c r="Q198" s="2106">
        <v>4.12734539190427</v>
      </c>
      <c r="R198" s="598">
        <v>5.4734456665934799</v>
      </c>
      <c r="S198" s="603">
        <v>5.5262970174743602</v>
      </c>
      <c r="T198" s="1059">
        <v>5.5159079839528902</v>
      </c>
    </row>
    <row r="199" spans="1:20">
      <c r="A199" t="s">
        <v>609</v>
      </c>
      <c r="B199" s="6" t="str">
        <f>HYPERLINK("http://www.ncbi.nlm.nih.gov/gene/18845", "18845")</f>
        <v>18845</v>
      </c>
      <c r="C199" s="6" t="str">
        <f>HYPERLINK("http://www.ncbi.nlm.nih.gov/gene/5362", "5362")</f>
        <v>5362</v>
      </c>
      <c r="D199" t="str">
        <f>"Plxna2"</f>
        <v>Plxna2</v>
      </c>
      <c r="E199" t="s">
        <v>610</v>
      </c>
      <c r="F199" t="s">
        <v>603</v>
      </c>
      <c r="G199" t="s">
        <v>604</v>
      </c>
      <c r="H199" s="516">
        <v>2</v>
      </c>
      <c r="I199" s="125">
        <v>6.8884895890873699</v>
      </c>
      <c r="J199" s="105">
        <v>6.6797816478944201</v>
      </c>
      <c r="K199" s="90">
        <v>6.8483608492843597</v>
      </c>
      <c r="L199" s="2107">
        <v>6.2364707092695904</v>
      </c>
      <c r="M199" s="727">
        <v>6.0184598132368796</v>
      </c>
      <c r="N199" s="1412">
        <v>6.1993139518025897</v>
      </c>
      <c r="O199" s="1118">
        <v>7.2381450893150001</v>
      </c>
      <c r="P199" s="658">
        <v>7.0356710189711897</v>
      </c>
      <c r="Q199" s="2108">
        <v>7.2661623023267401</v>
      </c>
      <c r="R199" s="1119">
        <v>8.7517497552641608</v>
      </c>
      <c r="S199" s="1120">
        <v>8.1043062258568703</v>
      </c>
      <c r="T199" s="1092">
        <v>8.1856986780172196</v>
      </c>
    </row>
    <row r="200" spans="1:20">
      <c r="A200" t="s">
        <v>605</v>
      </c>
      <c r="B200" s="6" t="str">
        <f>HYPERLINK("http://www.ncbi.nlm.nih.gov/gene/56811", "56811")</f>
        <v>56811</v>
      </c>
      <c r="C200" s="6" t="str">
        <f>HYPERLINK("http://www.ncbi.nlm.nih.gov/gene/27123", "27123")</f>
        <v>27123</v>
      </c>
      <c r="D200" t="str">
        <f>"Dkk2"</f>
        <v>Dkk2</v>
      </c>
      <c r="E200" t="s">
        <v>606</v>
      </c>
      <c r="F200" t="s">
        <v>607</v>
      </c>
      <c r="G200" t="s">
        <v>611</v>
      </c>
      <c r="H200" s="516">
        <v>2</v>
      </c>
      <c r="I200" s="99">
        <v>7.4346498612501204</v>
      </c>
      <c r="J200" s="36">
        <v>7.3000088145143502</v>
      </c>
      <c r="K200" s="52">
        <v>7.4751802416803397</v>
      </c>
      <c r="L200" s="2109">
        <v>6.1854547267803204</v>
      </c>
      <c r="M200" s="1147">
        <v>6.37211317705356</v>
      </c>
      <c r="N200" s="1138">
        <v>6.1767293201368698</v>
      </c>
      <c r="O200" s="1121">
        <v>8.1994967266796799</v>
      </c>
      <c r="P200" s="1122">
        <v>7.9620757409341003</v>
      </c>
      <c r="Q200" s="2110">
        <v>8.2705794226115508</v>
      </c>
      <c r="R200" s="745">
        <v>9.8464061909389091</v>
      </c>
      <c r="S200" s="698">
        <v>9.7875565546371401</v>
      </c>
      <c r="T200" s="1123">
        <v>9.7343534849139797</v>
      </c>
    </row>
    <row r="201" spans="1:20">
      <c r="A201" t="s">
        <v>612</v>
      </c>
      <c r="B201" s="6" t="str">
        <f>HYPERLINK("http://www.ncbi.nlm.nih.gov/gene/16371", "16371")</f>
        <v>16371</v>
      </c>
      <c r="C201" s="6" t="str">
        <f>HYPERLINK("http://www.ncbi.nlm.nih.gov/gene/79192", "79192")</f>
        <v>79192</v>
      </c>
      <c r="D201" t="str">
        <f>"Irx1"</f>
        <v>Irx1</v>
      </c>
      <c r="E201" t="s">
        <v>613</v>
      </c>
      <c r="F201" t="s">
        <v>614</v>
      </c>
      <c r="H201" s="516">
        <v>2</v>
      </c>
      <c r="I201" s="330">
        <v>5.61538094734372</v>
      </c>
      <c r="J201" s="182">
        <v>5.1614181973529103</v>
      </c>
      <c r="K201" s="41">
        <v>5.2073007256968804</v>
      </c>
      <c r="L201" s="1860">
        <v>4.7986017826908398</v>
      </c>
      <c r="M201" s="1591">
        <v>4.7222599396734299</v>
      </c>
      <c r="N201" s="1161">
        <v>4.6575809941186099</v>
      </c>
      <c r="O201" s="1124">
        <v>5.6484622368080899</v>
      </c>
      <c r="P201" s="739">
        <v>5.7618057045398796</v>
      </c>
      <c r="Q201" s="2111">
        <v>5.4775260698245702</v>
      </c>
      <c r="R201" s="707">
        <v>6.7448837216802104</v>
      </c>
      <c r="S201" s="679">
        <v>6.7836126047597398</v>
      </c>
      <c r="T201" s="1125">
        <v>6.6220313632265899</v>
      </c>
    </row>
    <row r="202" spans="1:20">
      <c r="A202" t="s">
        <v>615</v>
      </c>
      <c r="B202" s="6" t="str">
        <f>HYPERLINK("http://www.ncbi.nlm.nih.gov/gene/19218", "19218")</f>
        <v>19218</v>
      </c>
      <c r="C202" s="6" t="str">
        <f>HYPERLINK("http://www.ncbi.nlm.nih.gov/gene/5733", "5733")</f>
        <v>5733</v>
      </c>
      <c r="D202" t="str">
        <f>"Ptger3"</f>
        <v>Ptger3</v>
      </c>
      <c r="E202" t="s">
        <v>616</v>
      </c>
      <c r="F202" t="s">
        <v>624</v>
      </c>
      <c r="G202" t="s">
        <v>69</v>
      </c>
      <c r="H202" s="516">
        <v>2</v>
      </c>
      <c r="I202" s="333">
        <v>7.3695485344574898</v>
      </c>
      <c r="J202" s="128">
        <v>6.9462417360028903</v>
      </c>
      <c r="K202" s="238">
        <v>7.3457201523899904</v>
      </c>
      <c r="L202" s="2112">
        <v>5.9618468853418003</v>
      </c>
      <c r="M202" s="1448">
        <v>6.2522587969971397</v>
      </c>
      <c r="N202" s="1671">
        <v>5.9543509672574304</v>
      </c>
      <c r="O202" s="1118">
        <v>7.43398451086217</v>
      </c>
      <c r="P202" s="626">
        <v>7.4673966577906796</v>
      </c>
      <c r="Q202" s="2113">
        <v>7.56783374629281</v>
      </c>
      <c r="R202" s="553">
        <v>8.4031379240265895</v>
      </c>
      <c r="S202" s="753">
        <v>8.4686757570007192</v>
      </c>
      <c r="T202" s="990">
        <v>8.5315698307406702</v>
      </c>
    </row>
    <row r="203" spans="1:20">
      <c r="A203" t="s">
        <v>625</v>
      </c>
      <c r="B203" s="6" t="str">
        <f>HYPERLINK("http://www.ncbi.nlm.nih.gov/gene/22151", "22151")</f>
        <v>22151</v>
      </c>
      <c r="C203" s="6" t="str">
        <f>HYPERLINK("http://www.ncbi.nlm.nih.gov/gene/7280", "7280")</f>
        <v>7280</v>
      </c>
      <c r="D203" t="str">
        <f>"Tubb2a"</f>
        <v>Tubb2a</v>
      </c>
      <c r="E203" t="s">
        <v>632</v>
      </c>
      <c r="F203" t="s">
        <v>617</v>
      </c>
      <c r="G203" t="s">
        <v>276</v>
      </c>
      <c r="H203" s="516">
        <v>2</v>
      </c>
      <c r="I203" s="202">
        <v>5.5927346975297896</v>
      </c>
      <c r="J203" s="231">
        <v>5.7572814716886898</v>
      </c>
      <c r="K203" s="332">
        <v>5.9689520678373498</v>
      </c>
      <c r="L203" s="1961">
        <v>4.4385152295045103</v>
      </c>
      <c r="M203" s="1285">
        <v>4.4482829063939304</v>
      </c>
      <c r="N203" s="1319">
        <v>4.7660476397718901</v>
      </c>
      <c r="O203" s="1127">
        <v>5.9613577058520599</v>
      </c>
      <c r="P203" s="889">
        <v>5.9535427901972797</v>
      </c>
      <c r="Q203" s="2114">
        <v>5.8961075636142199</v>
      </c>
      <c r="R203" s="571">
        <v>7.05279183809456</v>
      </c>
      <c r="S203" s="559">
        <v>6.92171015604284</v>
      </c>
      <c r="T203" s="1128">
        <v>6.88183216640721</v>
      </c>
    </row>
    <row r="204" spans="1:20">
      <c r="A204" t="s">
        <v>618</v>
      </c>
      <c r="B204" s="6" t="str">
        <f>HYPERLINK("http://www.ncbi.nlm.nih.gov/gene/114886", "114886")</f>
        <v>114886</v>
      </c>
      <c r="C204" s="6" t="str">
        <f>HYPERLINK("http://www.ncbi.nlm.nih.gov/gene/114757", "114757")</f>
        <v>114757</v>
      </c>
      <c r="D204" t="str">
        <f>"Cygb"</f>
        <v>Cygb</v>
      </c>
      <c r="E204" t="s">
        <v>619</v>
      </c>
      <c r="F204" t="s">
        <v>633</v>
      </c>
      <c r="H204" s="516">
        <v>2</v>
      </c>
      <c r="I204" s="133">
        <v>6.3684024139865896</v>
      </c>
      <c r="J204" s="209">
        <v>6.4472191178775704</v>
      </c>
      <c r="K204" s="249">
        <v>6.73808931558104</v>
      </c>
      <c r="L204" s="2115">
        <v>4.4726807398015396</v>
      </c>
      <c r="M204" s="1646">
        <v>4.9655967643718304</v>
      </c>
      <c r="N204" s="1565">
        <v>4.7696670200766604</v>
      </c>
      <c r="O204" s="1129">
        <v>6.6629654051066298</v>
      </c>
      <c r="P204" s="750">
        <v>6.7163172635571797</v>
      </c>
      <c r="Q204" s="2116">
        <v>6.6685381713172998</v>
      </c>
      <c r="R204" s="714">
        <v>8.0908687579071596</v>
      </c>
      <c r="S204" s="753">
        <v>8.1683510145646299</v>
      </c>
      <c r="T204" s="990">
        <v>8.2415711771662501</v>
      </c>
    </row>
    <row r="205" spans="1:20">
      <c r="A205" t="s">
        <v>634</v>
      </c>
      <c r="B205" s="6" t="str">
        <f>HYPERLINK("http://www.ncbi.nlm.nih.gov/gene/21808", "21808")</f>
        <v>21808</v>
      </c>
      <c r="C205" s="6" t="str">
        <f>HYPERLINK("http://www.ncbi.nlm.nih.gov/gene/7042", "7042")</f>
        <v>7042</v>
      </c>
      <c r="D205" t="str">
        <f>"Tgfb2"</f>
        <v>Tgfb2</v>
      </c>
      <c r="E205" t="s">
        <v>635</v>
      </c>
      <c r="F205" t="s">
        <v>636</v>
      </c>
      <c r="G205" t="s">
        <v>637</v>
      </c>
      <c r="H205" s="516">
        <v>2</v>
      </c>
      <c r="I205" s="235">
        <v>8.4974161136234407</v>
      </c>
      <c r="J205" s="247">
        <v>8.3833730108881106</v>
      </c>
      <c r="K205" s="230">
        <v>8.5748791429072302</v>
      </c>
      <c r="L205" s="2117">
        <v>7.2708566391378397</v>
      </c>
      <c r="M205" s="1317">
        <v>7.4241328655460599</v>
      </c>
      <c r="N205" s="1143">
        <v>7.4528704778258703</v>
      </c>
      <c r="O205" s="1130">
        <v>8.43527742111457</v>
      </c>
      <c r="P205" s="1122">
        <v>8.4478323014844996</v>
      </c>
      <c r="Q205" s="2118">
        <v>8.4676619803026796</v>
      </c>
      <c r="R205" s="570">
        <v>9.5158838867594007</v>
      </c>
      <c r="S205" s="774">
        <v>9.24437964581697</v>
      </c>
      <c r="T205" s="1008">
        <v>9.2447749115304507</v>
      </c>
    </row>
    <row r="206" spans="1:20">
      <c r="A206" t="s">
        <v>638</v>
      </c>
      <c r="B206" s="6" t="str">
        <f>HYPERLINK("http://www.ncbi.nlm.nih.gov/gene/18189", "18189")</f>
        <v>18189</v>
      </c>
      <c r="C206" s="6" t="str">
        <f>HYPERLINK("http://www.ncbi.nlm.nih.gov/gene/9378", "9378")</f>
        <v>9378</v>
      </c>
      <c r="D206" t="str">
        <f>"Nrxn1"</f>
        <v>Nrxn1</v>
      </c>
      <c r="E206" t="s">
        <v>639</v>
      </c>
      <c r="F206" t="s">
        <v>640</v>
      </c>
      <c r="G206" t="s">
        <v>362</v>
      </c>
      <c r="H206" s="516">
        <v>2</v>
      </c>
      <c r="I206" s="345">
        <v>4.1902960253269503</v>
      </c>
      <c r="J206" s="230">
        <v>4.6287235592124096</v>
      </c>
      <c r="K206" s="99">
        <v>3.96712003957267</v>
      </c>
      <c r="L206" s="2119">
        <v>2.8892307542592501</v>
      </c>
      <c r="M206" s="1342">
        <v>3.1674795748187599</v>
      </c>
      <c r="N206" s="1445">
        <v>2.7133839326337199</v>
      </c>
      <c r="O206" s="1131">
        <v>4.37836792967948</v>
      </c>
      <c r="P206" s="1100">
        <v>4.4569141181444802</v>
      </c>
      <c r="Q206" s="2060">
        <v>4.0173611215517697</v>
      </c>
      <c r="R206" s="675">
        <v>6.0637930683382804</v>
      </c>
      <c r="S206" s="1132">
        <v>5.8836164668802704</v>
      </c>
      <c r="T206" s="1050">
        <v>6.0724559549094801</v>
      </c>
    </row>
    <row r="207" spans="1:20">
      <c r="A207" t="s">
        <v>653</v>
      </c>
      <c r="B207" s="6" t="str">
        <f>HYPERLINK("http://www.ncbi.nlm.nih.gov/gene/17138", "17138")</f>
        <v>17138</v>
      </c>
      <c r="C207" s="6" t="str">
        <f>HYPERLINK("http://www.ncbi.nlm.nih.gov/gene/", "")</f>
        <v/>
      </c>
      <c r="D207" t="str">
        <f>"Magea2"</f>
        <v>Magea2</v>
      </c>
      <c r="E207" t="s">
        <v>654</v>
      </c>
      <c r="F207" t="s">
        <v>90</v>
      </c>
      <c r="H207" s="516">
        <v>2</v>
      </c>
      <c r="I207" s="398">
        <v>7.1839978471560597</v>
      </c>
      <c r="J207" s="227">
        <v>6.3849530937061996</v>
      </c>
      <c r="K207" s="449">
        <v>5.5485304382502401</v>
      </c>
      <c r="L207" s="2120">
        <v>6.6693310085587596</v>
      </c>
      <c r="M207" s="1126">
        <v>6.7163636178092103</v>
      </c>
      <c r="N207" s="688">
        <v>6.0039015698220597</v>
      </c>
      <c r="O207" s="1133">
        <v>5.7661528888685396</v>
      </c>
      <c r="P207" s="1134">
        <v>5.66468296449459</v>
      </c>
      <c r="Q207" s="2121">
        <v>6.2309584711136798</v>
      </c>
      <c r="R207" s="564">
        <v>7.72994909974439</v>
      </c>
      <c r="S207" s="1135">
        <v>7.3561436348896203</v>
      </c>
      <c r="T207" s="1136">
        <v>6.9454231910737603</v>
      </c>
    </row>
    <row r="208" spans="1:20">
      <c r="A208" t="s">
        <v>655</v>
      </c>
      <c r="B208" s="6" t="str">
        <f>HYPERLINK("http://www.ncbi.nlm.nih.gov/gene/72043", "72043")</f>
        <v>72043</v>
      </c>
      <c r="C208" s="6" t="str">
        <f>HYPERLINK("http://www.ncbi.nlm.nih.gov/gene/55959", "55959")</f>
        <v>55959</v>
      </c>
      <c r="D208" t="str">
        <f>"Sulf2"</f>
        <v>Sulf2</v>
      </c>
      <c r="E208" t="s">
        <v>656</v>
      </c>
      <c r="F208" t="s">
        <v>641</v>
      </c>
      <c r="H208" s="516">
        <v>2</v>
      </c>
      <c r="I208" s="293">
        <v>10.3263561479533</v>
      </c>
      <c r="J208" s="376">
        <v>10.216674846418</v>
      </c>
      <c r="K208" s="323">
        <v>10.182498488906999</v>
      </c>
      <c r="L208" s="1965">
        <v>9.9106481162517692</v>
      </c>
      <c r="M208" s="906">
        <v>9.7968002445859899</v>
      </c>
      <c r="N208" s="676">
        <v>9.76643724411454</v>
      </c>
      <c r="O208" s="1137">
        <v>9.1617465189876803</v>
      </c>
      <c r="P208" s="1138">
        <v>9.2631344406499103</v>
      </c>
      <c r="Q208" s="2122">
        <v>9.1207990070371707</v>
      </c>
      <c r="R208" s="823">
        <v>10.627635361167</v>
      </c>
      <c r="S208" s="1140">
        <v>10.4886504322831</v>
      </c>
      <c r="T208" s="1141">
        <v>10.489333238383001</v>
      </c>
    </row>
    <row r="209" spans="1:20">
      <c r="A209" t="s">
        <v>642</v>
      </c>
      <c r="B209" s="6" t="str">
        <f>HYPERLINK("http://www.ncbi.nlm.nih.gov/gene/14247", "14247")</f>
        <v>14247</v>
      </c>
      <c r="C209" s="6" t="str">
        <f>HYPERLINK("http://www.ncbi.nlm.nih.gov/gene/2313", "2313")</f>
        <v>2313</v>
      </c>
      <c r="D209" t="str">
        <f>"Fli1"</f>
        <v>Fli1</v>
      </c>
      <c r="E209" t="s">
        <v>643</v>
      </c>
      <c r="F209" t="s">
        <v>644</v>
      </c>
      <c r="H209" s="516">
        <v>2</v>
      </c>
      <c r="I209" s="323">
        <v>7.7544079184328298</v>
      </c>
      <c r="J209" s="325">
        <v>7.7737144776873599</v>
      </c>
      <c r="K209" s="298">
        <v>7.8749051482643502</v>
      </c>
      <c r="L209" s="1896">
        <v>7.2812885423595404</v>
      </c>
      <c r="M209" s="583">
        <v>7.20122419077095</v>
      </c>
      <c r="N209" s="849">
        <v>7.4298110447316104</v>
      </c>
      <c r="O209" s="1142">
        <v>6.8038223273632603</v>
      </c>
      <c r="P209" s="1143">
        <v>6.7769610634449702</v>
      </c>
      <c r="Q209" s="2123">
        <v>6.70622508423632</v>
      </c>
      <c r="R209" s="1120">
        <v>8.1474582869764003</v>
      </c>
      <c r="S209" s="1145">
        <v>8.2068904336118393</v>
      </c>
      <c r="T209" s="1019">
        <v>8.12996947885261</v>
      </c>
    </row>
    <row r="210" spans="1:20">
      <c r="A210" t="s">
        <v>645</v>
      </c>
      <c r="B210" s="6" t="str">
        <f>HYPERLINK("http://www.ncbi.nlm.nih.gov/gene/18213", "18213")</f>
        <v>18213</v>
      </c>
      <c r="C210" s="6" t="str">
        <f>HYPERLINK("http://www.ncbi.nlm.nih.gov/gene/4916", "4916")</f>
        <v>4916</v>
      </c>
      <c r="D210" t="str">
        <f>"Ntrk3"</f>
        <v>Ntrk3</v>
      </c>
      <c r="E210" t="s">
        <v>646</v>
      </c>
      <c r="F210" t="s">
        <v>649</v>
      </c>
      <c r="G210" t="s">
        <v>650</v>
      </c>
      <c r="H210" s="516">
        <v>2</v>
      </c>
      <c r="I210" s="255">
        <v>6.9981890574316798</v>
      </c>
      <c r="J210" s="333">
        <v>6.7980565184513404</v>
      </c>
      <c r="K210" s="421">
        <v>7.0130978190067097</v>
      </c>
      <c r="L210" s="1955">
        <v>6.2442170317516803</v>
      </c>
      <c r="M210" s="543">
        <v>6.3270008891499296</v>
      </c>
      <c r="N210" s="699">
        <v>6.3694130089275198</v>
      </c>
      <c r="O210" s="1146">
        <v>5.4482703862190496</v>
      </c>
      <c r="P210" s="1147">
        <v>5.5499154171046996</v>
      </c>
      <c r="Q210" s="2124">
        <v>5.4199962795676599</v>
      </c>
      <c r="R210" s="1041">
        <v>8.2140427097897408</v>
      </c>
      <c r="S210" s="639">
        <v>8.0663199672292993</v>
      </c>
      <c r="T210" s="995">
        <v>8.2763978587668099</v>
      </c>
    </row>
    <row r="211" spans="1:20">
      <c r="A211" t="s">
        <v>651</v>
      </c>
      <c r="B211" s="6" t="str">
        <f>HYPERLINK("http://www.ncbi.nlm.nih.gov/gene/19017", "19017")</f>
        <v>19017</v>
      </c>
      <c r="C211" s="6" t="str">
        <f>HYPERLINK("http://www.ncbi.nlm.nih.gov/gene/10891", "10891")</f>
        <v>10891</v>
      </c>
      <c r="D211" t="str">
        <f>"Ppargc1a"</f>
        <v>Ppargc1a</v>
      </c>
      <c r="E211" t="s">
        <v>652</v>
      </c>
      <c r="F211" t="s">
        <v>660</v>
      </c>
      <c r="G211" t="s">
        <v>647</v>
      </c>
      <c r="H211" s="516">
        <v>2</v>
      </c>
      <c r="I211" s="326">
        <v>5.6196081049185196</v>
      </c>
      <c r="J211" s="140">
        <v>5.2838244795068396</v>
      </c>
      <c r="K211" s="326">
        <v>5.6211731306197299</v>
      </c>
      <c r="L211" s="2125">
        <v>4.6512668775568198</v>
      </c>
      <c r="M211" s="1215">
        <v>4.8549462409048498</v>
      </c>
      <c r="N211" s="1065">
        <v>4.7720395967320099</v>
      </c>
      <c r="O211" s="1149">
        <v>3.4342323778045398</v>
      </c>
      <c r="P211" s="1150">
        <v>3.3815761079166302</v>
      </c>
      <c r="Q211" s="2126">
        <v>3.63360946138681</v>
      </c>
      <c r="R211" s="614">
        <v>6.5138964484315602</v>
      </c>
      <c r="S211" s="558">
        <v>6.7687606412034498</v>
      </c>
      <c r="T211" s="1151">
        <v>6.7158669603762604</v>
      </c>
    </row>
    <row r="212" spans="1:20">
      <c r="A212" t="s">
        <v>648</v>
      </c>
      <c r="B212" s="6" t="str">
        <f>HYPERLINK("http://www.ncbi.nlm.nih.gov/gene/70546", "70546")</f>
        <v>70546</v>
      </c>
      <c r="C212" s="6" t="str">
        <f>HYPERLINK("http://www.ncbi.nlm.nih.gov/gene/51201", "51201")</f>
        <v>51201</v>
      </c>
      <c r="D212" t="str">
        <f>"Zdhhc2"</f>
        <v>Zdhhc2</v>
      </c>
      <c r="E212" t="s">
        <v>661</v>
      </c>
      <c r="F212" t="s">
        <v>657</v>
      </c>
      <c r="H212" s="516">
        <v>2</v>
      </c>
      <c r="I212" s="474">
        <v>6.1819740455364904</v>
      </c>
      <c r="J212" s="140">
        <v>6.1136949969494498</v>
      </c>
      <c r="K212" s="276">
        <v>6.3035618241480904</v>
      </c>
      <c r="L212" s="2127">
        <v>5.8915209685569296</v>
      </c>
      <c r="M212" s="1228">
        <v>5.9530313714810896</v>
      </c>
      <c r="N212" s="784">
        <v>6.0085643036829497</v>
      </c>
      <c r="O212" s="1152">
        <v>5.0621907949429996</v>
      </c>
      <c r="P212" s="1138">
        <v>5.3410738433745504</v>
      </c>
      <c r="Q212" s="2128">
        <v>5.4911361381089998</v>
      </c>
      <c r="R212" s="931">
        <v>6.4881723090790997</v>
      </c>
      <c r="S212" s="576">
        <v>6.9069327291255203</v>
      </c>
      <c r="T212" s="1154">
        <v>6.6997134696971896</v>
      </c>
    </row>
    <row r="213" spans="1:20">
      <c r="A213" t="s">
        <v>658</v>
      </c>
      <c r="B213" s="6" t="str">
        <f>HYPERLINK("http://www.ncbi.nlm.nih.gov/gene/11820", "11820")</f>
        <v>11820</v>
      </c>
      <c r="C213" s="6" t="str">
        <f>HYPERLINK("http://www.ncbi.nlm.nih.gov/gene/351", "351")</f>
        <v>351</v>
      </c>
      <c r="D213" t="str">
        <f>"App"</f>
        <v>App</v>
      </c>
      <c r="E213" t="s">
        <v>659</v>
      </c>
      <c r="F213" t="s">
        <v>662</v>
      </c>
      <c r="G213" t="s">
        <v>677</v>
      </c>
      <c r="H213" s="516">
        <v>2</v>
      </c>
      <c r="I213" s="465">
        <v>10.066042059973899</v>
      </c>
      <c r="J213" s="465">
        <v>10.066723851739599</v>
      </c>
      <c r="K213" s="33">
        <v>10.023168831178401</v>
      </c>
      <c r="L213" s="2129">
        <v>10.100175405681799</v>
      </c>
      <c r="M213" s="830">
        <v>10.0141341619599</v>
      </c>
      <c r="N213" s="788">
        <v>10.1223961085814</v>
      </c>
      <c r="O213" s="1155">
        <v>9.3613042952698198</v>
      </c>
      <c r="P213" s="1156">
        <v>9.3846698657439305</v>
      </c>
      <c r="Q213" s="2130">
        <v>9.4673822658635292</v>
      </c>
      <c r="R213" s="1157">
        <v>10.5957706460397</v>
      </c>
      <c r="S213" s="1132">
        <v>10.6153052343032</v>
      </c>
      <c r="T213" s="1158">
        <v>10.5930437257341</v>
      </c>
    </row>
    <row r="214" spans="1:20">
      <c r="A214" t="s">
        <v>678</v>
      </c>
      <c r="B214" s="6" t="str">
        <f>HYPERLINK("http://www.ncbi.nlm.nih.gov/gene/102866", "102866")</f>
        <v>102866</v>
      </c>
      <c r="C214" s="6" t="str">
        <f>HYPERLINK("http://www.ncbi.nlm.nih.gov/gene/5358", "5358")</f>
        <v>5358</v>
      </c>
      <c r="D214" t="str">
        <f>"Pls3"</f>
        <v>Pls3</v>
      </c>
      <c r="E214" t="s">
        <v>679</v>
      </c>
      <c r="F214" t="s">
        <v>683</v>
      </c>
      <c r="H214" s="516">
        <v>2</v>
      </c>
      <c r="I214" s="476">
        <v>9.0375254628321393</v>
      </c>
      <c r="J214" s="54">
        <v>8.8087480267205205</v>
      </c>
      <c r="K214" s="235">
        <v>8.9590296162830008</v>
      </c>
      <c r="L214" s="1930">
        <v>8.8712989430863107</v>
      </c>
      <c r="M214" s="654">
        <v>8.8050440094185003</v>
      </c>
      <c r="N214" s="1267">
        <v>9.0362274470588204</v>
      </c>
      <c r="O214" s="1159">
        <v>8.3181293172223096</v>
      </c>
      <c r="P214" s="1160">
        <v>8.3700707809700194</v>
      </c>
      <c r="Q214" s="2131">
        <v>8.4113856150353605</v>
      </c>
      <c r="R214" s="1082">
        <v>9.3627370514810302</v>
      </c>
      <c r="S214" s="577">
        <v>9.5589406918233699</v>
      </c>
      <c r="T214" s="1092">
        <v>9.4260842285855002</v>
      </c>
    </row>
    <row r="215" spans="1:20">
      <c r="A215" t="s">
        <v>684</v>
      </c>
      <c r="B215" s="6" t="str">
        <f>HYPERLINK("http://www.ncbi.nlm.nih.gov/gene/71738", "71738")</f>
        <v>71738</v>
      </c>
      <c r="C215" s="6" t="str">
        <f>HYPERLINK("http://www.ncbi.nlm.nih.gov/gene/256691", "256691")</f>
        <v>256691</v>
      </c>
      <c r="D215" t="str">
        <f>"Mamdc2"</f>
        <v>Mamdc2</v>
      </c>
      <c r="E215" t="s">
        <v>685</v>
      </c>
      <c r="F215" t="s">
        <v>694</v>
      </c>
      <c r="H215" s="516">
        <v>2</v>
      </c>
      <c r="I215" s="209">
        <v>3.5246834358180199</v>
      </c>
      <c r="J215" s="344">
        <v>3.64870119104914</v>
      </c>
      <c r="K215" s="344">
        <v>3.6477119769674999</v>
      </c>
      <c r="L215" s="2132">
        <v>3.3918354370771402</v>
      </c>
      <c r="M215" s="550">
        <v>3.4487818924333098</v>
      </c>
      <c r="N215" s="658">
        <v>3.5066681125109098</v>
      </c>
      <c r="O215" s="1162">
        <v>2.89910795375777</v>
      </c>
      <c r="P215" s="1163">
        <v>2.6878403720223099</v>
      </c>
      <c r="Q215" s="2133">
        <v>3.2779774521978799</v>
      </c>
      <c r="R215" s="1071">
        <v>4.1605399261206104</v>
      </c>
      <c r="S215" s="1164">
        <v>4.2363599094072901</v>
      </c>
      <c r="T215" s="1165">
        <v>4.2245585446865297</v>
      </c>
    </row>
    <row r="216" spans="1:20">
      <c r="A216" t="s">
        <v>695</v>
      </c>
      <c r="B216" s="6" t="str">
        <f>HYPERLINK("http://www.ncbi.nlm.nih.gov/gene/270049", "270049")</f>
        <v>270049</v>
      </c>
      <c r="C216" s="6" t="str">
        <f>HYPERLINK("http://www.ncbi.nlm.nih.gov/gene/442117", "442117")</f>
        <v>442117</v>
      </c>
      <c r="D216" t="str">
        <f>"Galntl6"</f>
        <v>Galntl6</v>
      </c>
      <c r="E216" t="s">
        <v>664</v>
      </c>
      <c r="F216" t="s">
        <v>697</v>
      </c>
      <c r="G216" t="s">
        <v>698</v>
      </c>
      <c r="H216" s="516">
        <v>2</v>
      </c>
      <c r="I216" s="187">
        <v>4.2602159411454403</v>
      </c>
      <c r="J216" s="121">
        <v>4.1888319333897801</v>
      </c>
      <c r="K216" s="283">
        <v>4.7741288003419102</v>
      </c>
      <c r="L216" s="2061">
        <v>3.7494491413071298</v>
      </c>
      <c r="M216" s="532">
        <v>3.8127324366410398</v>
      </c>
      <c r="N216" s="687">
        <v>4.0616817597489803</v>
      </c>
      <c r="O216" s="1048">
        <v>3.4742824704729198</v>
      </c>
      <c r="P216" s="722">
        <v>3.09421504669114</v>
      </c>
      <c r="Q216" s="2047">
        <v>3.0170544496235898</v>
      </c>
      <c r="R216" s="648">
        <v>6.1585009007609299</v>
      </c>
      <c r="S216" s="725">
        <v>6.3542827828899799</v>
      </c>
      <c r="T216" s="995">
        <v>6.21965991321676</v>
      </c>
    </row>
    <row r="217" spans="1:20">
      <c r="A217" t="s">
        <v>699</v>
      </c>
      <c r="B217" s="6" t="str">
        <f>HYPERLINK("http://www.ncbi.nlm.nih.gov/gene/20442", "20442")</f>
        <v>20442</v>
      </c>
      <c r="C217" s="6" t="str">
        <f>HYPERLINK("http://www.ncbi.nlm.nih.gov/gene/6482", "6482")</f>
        <v>6482</v>
      </c>
      <c r="D217" t="str">
        <f>"St3gal1"</f>
        <v>St3gal1</v>
      </c>
      <c r="E217" t="s">
        <v>700</v>
      </c>
      <c r="F217" t="s">
        <v>668</v>
      </c>
      <c r="G217" t="s">
        <v>702</v>
      </c>
      <c r="H217" s="516">
        <v>2</v>
      </c>
      <c r="I217" s="197">
        <v>7.2319093463745796</v>
      </c>
      <c r="J217" s="224">
        <v>7.0671998123270097</v>
      </c>
      <c r="K217" s="333">
        <v>7.2153259553764197</v>
      </c>
      <c r="L217" s="2088">
        <v>6.8018359204753196</v>
      </c>
      <c r="M217" s="529">
        <v>6.9891269799653202</v>
      </c>
      <c r="N217" s="592">
        <v>6.8666880116929701</v>
      </c>
      <c r="O217" s="1166">
        <v>6.5801077763136302</v>
      </c>
      <c r="P217" s="1167">
        <v>6.5231091457300803</v>
      </c>
      <c r="Q217" s="2134">
        <v>6.4858672381121503</v>
      </c>
      <c r="R217" s="698">
        <v>8.0354124515346204</v>
      </c>
      <c r="S217" s="648">
        <v>8.0580796224166509</v>
      </c>
      <c r="T217" s="1076">
        <v>8.2189963287572301</v>
      </c>
    </row>
    <row r="218" spans="1:20">
      <c r="A218" t="s">
        <v>703</v>
      </c>
      <c r="B218" s="6" t="str">
        <f>HYPERLINK("http://www.ncbi.nlm.nih.gov/gene/12294", "12294")</f>
        <v>12294</v>
      </c>
      <c r="C218" s="6" t="str">
        <f>HYPERLINK("http://www.ncbi.nlm.nih.gov/gene/55799", "55799")</f>
        <v>55799</v>
      </c>
      <c r="D218" t="str">
        <f>"Cacna2d3"</f>
        <v>Cacna2d3</v>
      </c>
      <c r="E218" t="s">
        <v>701</v>
      </c>
      <c r="F218" t="s">
        <v>680</v>
      </c>
      <c r="G218" t="s">
        <v>467</v>
      </c>
      <c r="H218" s="516">
        <v>2</v>
      </c>
      <c r="I218" s="231">
        <v>4.1192907848531002</v>
      </c>
      <c r="J218" s="300">
        <v>4.1508198918455701</v>
      </c>
      <c r="K218" s="359">
        <v>4.5258929547703097</v>
      </c>
      <c r="L218" s="2135">
        <v>3.8834486955402201</v>
      </c>
      <c r="M218" s="670">
        <v>4.0034744250859404</v>
      </c>
      <c r="N218" s="676">
        <v>3.9802471865789602</v>
      </c>
      <c r="O218" s="1168">
        <v>3.8166618505029302</v>
      </c>
      <c r="P218" s="1021">
        <v>3.50423944734472</v>
      </c>
      <c r="Q218" s="2136">
        <v>3.3951846747392902</v>
      </c>
      <c r="R218" s="1013">
        <v>4.97232517155794</v>
      </c>
      <c r="S218" s="1170">
        <v>4.6424786265670397</v>
      </c>
      <c r="T218" s="1171">
        <v>4.7346369155349501</v>
      </c>
    </row>
    <row r="219" spans="1:20">
      <c r="A219" t="s">
        <v>681</v>
      </c>
      <c r="B219" s="6" t="str">
        <f>HYPERLINK("http://www.ncbi.nlm.nih.gov/gene/226251", "226251")</f>
        <v>226251</v>
      </c>
      <c r="C219" s="6" t="str">
        <f>HYPERLINK("http://www.ncbi.nlm.nih.gov/gene/3983", "3983")</f>
        <v>3983</v>
      </c>
      <c r="D219" t="str">
        <f>"Ablim1"</f>
        <v>Ablim1</v>
      </c>
      <c r="E219" t="s">
        <v>682</v>
      </c>
      <c r="F219" t="s">
        <v>672</v>
      </c>
      <c r="G219" t="s">
        <v>604</v>
      </c>
      <c r="H219" s="516">
        <v>2</v>
      </c>
      <c r="I219" s="45">
        <v>5.2727101402118004</v>
      </c>
      <c r="J219" s="141">
        <v>5.0873593185327701</v>
      </c>
      <c r="K219" s="202">
        <v>5.27862502562808</v>
      </c>
      <c r="L219" s="2048">
        <v>5.3244730739764101</v>
      </c>
      <c r="M219" s="695">
        <v>5.27698843835228</v>
      </c>
      <c r="N219" s="670">
        <v>5.2541395453415598</v>
      </c>
      <c r="O219" s="1172">
        <v>5.1497945113771699</v>
      </c>
      <c r="P219" s="1173">
        <v>4.7581933300754198</v>
      </c>
      <c r="Q219" s="2137">
        <v>4.9163504135332898</v>
      </c>
      <c r="R219" s="1022">
        <v>6.1344225434872204</v>
      </c>
      <c r="S219" s="565">
        <v>6.1474398096324201</v>
      </c>
      <c r="T219" s="1175">
        <v>6.0635111254094198</v>
      </c>
    </row>
    <row r="220" spans="1:20">
      <c r="A220" t="s">
        <v>673</v>
      </c>
      <c r="B220" s="6" t="str">
        <f>HYPERLINK("http://www.ncbi.nlm.nih.gov/gene/20446", "20446")</f>
        <v>20446</v>
      </c>
      <c r="C220" s="6" t="str">
        <f>HYPERLINK("http://www.ncbi.nlm.nih.gov/gene/10610", "10610")</f>
        <v>10610</v>
      </c>
      <c r="D220" t="str">
        <f>"St6galnac2"</f>
        <v>St6galnac2</v>
      </c>
      <c r="E220" t="s">
        <v>674</v>
      </c>
      <c r="F220" t="s">
        <v>688</v>
      </c>
      <c r="H220" s="516">
        <v>2</v>
      </c>
      <c r="I220" s="242">
        <v>5.6075270026991797</v>
      </c>
      <c r="J220" s="51">
        <v>4.9781134435609697</v>
      </c>
      <c r="K220" s="170">
        <v>5.6879845545280503</v>
      </c>
      <c r="L220" s="2127">
        <v>5.4408769168678104</v>
      </c>
      <c r="M220" s="1006">
        <v>5.3159047121769403</v>
      </c>
      <c r="N220" s="604">
        <v>5.3007214961413496</v>
      </c>
      <c r="O220" s="1176">
        <v>4.8921520270229601</v>
      </c>
      <c r="P220" s="863">
        <v>4.6028903525800997</v>
      </c>
      <c r="Q220" s="2138">
        <v>5.1034944803678703</v>
      </c>
      <c r="R220" s="745">
        <v>6.9867773345495197</v>
      </c>
      <c r="S220" s="565">
        <v>7.1392274459447904</v>
      </c>
      <c r="T220" s="1059">
        <v>7.1438436879650897</v>
      </c>
    </row>
    <row r="221" spans="1:20">
      <c r="A221" t="s">
        <v>689</v>
      </c>
      <c r="B221" s="6" t="str">
        <f>HYPERLINK("http://www.ncbi.nlm.nih.gov/gene/245050", "245050")</f>
        <v>245050</v>
      </c>
      <c r="C221" s="6" t="str">
        <f>HYPERLINK("http://www.ncbi.nlm.nih.gov/gene/729085", "729085")</f>
        <v>729085</v>
      </c>
      <c r="D221" t="str">
        <f>"Fam198a"</f>
        <v>Fam198a</v>
      </c>
      <c r="E221" t="s">
        <v>690</v>
      </c>
      <c r="F221" t="s">
        <v>691</v>
      </c>
      <c r="H221" s="516">
        <v>2</v>
      </c>
      <c r="I221" s="269">
        <v>4.9750781296209903</v>
      </c>
      <c r="J221" s="195">
        <v>4.4628284810791996</v>
      </c>
      <c r="K221" s="259">
        <v>5.055511784079</v>
      </c>
      <c r="L221" s="1900">
        <v>4.9382160631794898</v>
      </c>
      <c r="M221" s="835">
        <v>4.9397611443804399</v>
      </c>
      <c r="N221" s="830">
        <v>4.9184650356974604</v>
      </c>
      <c r="O221" s="1177">
        <v>4.3951120754101298</v>
      </c>
      <c r="P221" s="1178">
        <v>4.0497482799474902</v>
      </c>
      <c r="Q221" s="2139">
        <v>4.4904109455042498</v>
      </c>
      <c r="R221" s="1022">
        <v>5.8036927842920596</v>
      </c>
      <c r="S221" s="728">
        <v>5.6467285746272902</v>
      </c>
      <c r="T221" s="1088">
        <v>5.6177832722871797</v>
      </c>
    </row>
    <row r="222" spans="1:20">
      <c r="A222" t="s">
        <v>692</v>
      </c>
      <c r="B222" s="6" t="str">
        <f>HYPERLINK("http://www.ncbi.nlm.nih.gov/gene/270120", "270120")</f>
        <v>270120</v>
      </c>
      <c r="C222" s="6" t="str">
        <f>HYPERLINK("http://www.ncbi.nlm.nih.gov/gene/120114", "120114")</f>
        <v>120114</v>
      </c>
      <c r="D222" t="str">
        <f>"Fat3"</f>
        <v>Fat3</v>
      </c>
      <c r="E222" t="s">
        <v>693</v>
      </c>
      <c r="F222" t="s">
        <v>675</v>
      </c>
      <c r="H222" s="516">
        <v>2</v>
      </c>
      <c r="I222" s="30">
        <v>5.5015935630038202</v>
      </c>
      <c r="J222" s="352">
        <v>5.1761986949296199</v>
      </c>
      <c r="K222" s="374">
        <v>5.6289821799577497</v>
      </c>
      <c r="L222" s="2140">
        <v>4.3443318840181098</v>
      </c>
      <c r="M222" s="1336">
        <v>4.0921419853289196</v>
      </c>
      <c r="N222" s="1109">
        <v>4.2103538164342398</v>
      </c>
      <c r="O222" s="1180">
        <v>3.6963042308210601</v>
      </c>
      <c r="P222" s="872">
        <v>4.1879296178304504</v>
      </c>
      <c r="Q222" s="2141">
        <v>4.2452801117529599</v>
      </c>
      <c r="R222" s="707">
        <v>6.1628472381354902</v>
      </c>
      <c r="S222" s="1182">
        <v>5.7763535978669802</v>
      </c>
      <c r="T222" s="1183">
        <v>5.7953311587452596</v>
      </c>
    </row>
    <row r="223" spans="1:20">
      <c r="A223" t="s">
        <v>676</v>
      </c>
      <c r="B223" s="6" t="str">
        <f>HYPERLINK("http://www.ncbi.nlm.nih.gov/gene/214968", "214968")</f>
        <v>214968</v>
      </c>
      <c r="C223" s="6" t="str">
        <f>HYPERLINK("http://www.ncbi.nlm.nih.gov/gene/80031", "80031")</f>
        <v>80031</v>
      </c>
      <c r="D223" t="str">
        <f>"Sema6d"</f>
        <v>Sema6d</v>
      </c>
      <c r="E223" t="s">
        <v>696</v>
      </c>
      <c r="F223" t="s">
        <v>686</v>
      </c>
      <c r="G223" t="s">
        <v>604</v>
      </c>
      <c r="H223" s="516">
        <v>2</v>
      </c>
      <c r="I223" s="293">
        <v>7.9385089123031198</v>
      </c>
      <c r="J223" s="356">
        <v>7.8623636603503302</v>
      </c>
      <c r="K223" s="417">
        <v>7.9036662303630703</v>
      </c>
      <c r="L223" s="1925">
        <v>5.8645329802194901</v>
      </c>
      <c r="M223" s="538">
        <v>6.5269165994089899</v>
      </c>
      <c r="N223" s="1174">
        <v>6.0709517845972201</v>
      </c>
      <c r="O223" s="1184">
        <v>5.9664109869555899</v>
      </c>
      <c r="P223" s="641">
        <v>6.3433326675614197</v>
      </c>
      <c r="Q223" s="2142">
        <v>6.1662025531902298</v>
      </c>
      <c r="R223" s="558">
        <v>8.6555477863126704</v>
      </c>
      <c r="S223" s="618">
        <v>8.3330661523014307</v>
      </c>
      <c r="T223" s="1185">
        <v>8.3715207801286606</v>
      </c>
    </row>
    <row r="224" spans="1:20">
      <c r="A224" t="s">
        <v>687</v>
      </c>
      <c r="B224" s="6" t="str">
        <f>HYPERLINK("http://www.ncbi.nlm.nih.gov/gene/16497", "16497")</f>
        <v>16497</v>
      </c>
      <c r="C224" s="6" t="str">
        <f>HYPERLINK("http://www.ncbi.nlm.nih.gov/gene/7881", "7881")</f>
        <v>7881</v>
      </c>
      <c r="D224" t="str">
        <f>"Kcnab1"</f>
        <v>Kcnab1</v>
      </c>
      <c r="E224" t="s">
        <v>663</v>
      </c>
      <c r="F224" t="s">
        <v>665</v>
      </c>
      <c r="H224" s="516">
        <v>2</v>
      </c>
      <c r="I224" s="435">
        <v>6.0516558618461804</v>
      </c>
      <c r="J224" s="369">
        <v>6.3096632351665498</v>
      </c>
      <c r="K224" s="161">
        <v>6.8032715849814096</v>
      </c>
      <c r="L224" s="2072">
        <v>4.3759943791773699</v>
      </c>
      <c r="M224" s="533">
        <v>4.84056931106963</v>
      </c>
      <c r="N224" s="622">
        <v>4.7089955809003001</v>
      </c>
      <c r="O224" s="1186">
        <v>3.9443472069906198</v>
      </c>
      <c r="P224" s="1153">
        <v>4.2912488850871098</v>
      </c>
      <c r="Q224" s="2143">
        <v>4.1425409022248401</v>
      </c>
      <c r="R224" s="862">
        <v>6.0442896591414401</v>
      </c>
      <c r="S224" s="553">
        <v>6.6504233439211102</v>
      </c>
      <c r="T224" s="1031">
        <v>6.1713203509346304</v>
      </c>
    </row>
    <row r="225" spans="1:20">
      <c r="A225" t="s">
        <v>666</v>
      </c>
      <c r="B225" s="6" t="str">
        <f>HYPERLINK("http://www.ncbi.nlm.nih.gov/gene/320865", "320865")</f>
        <v>320865</v>
      </c>
      <c r="C225" s="6" t="str">
        <f>HYPERLINK("http://www.ncbi.nlm.nih.gov/gene/1016", "1016")</f>
        <v>1016</v>
      </c>
      <c r="D225" t="str">
        <f>"Cdh18"</f>
        <v>Cdh18</v>
      </c>
      <c r="E225" t="s">
        <v>667</v>
      </c>
      <c r="F225" t="s">
        <v>669</v>
      </c>
      <c r="H225" s="516">
        <v>2</v>
      </c>
      <c r="I225" s="324">
        <v>4.0522630272823399</v>
      </c>
      <c r="J225" s="30">
        <v>4.2168041633168603</v>
      </c>
      <c r="K225" s="185">
        <v>3.8979049874412701</v>
      </c>
      <c r="L225" s="2144">
        <v>3.6752042736210799</v>
      </c>
      <c r="M225" s="688">
        <v>3.43465725498727</v>
      </c>
      <c r="N225" s="1364">
        <v>3.2398374371488998</v>
      </c>
      <c r="O225" s="1187">
        <v>3.3280175601217699</v>
      </c>
      <c r="P225" s="1188">
        <v>3.3136917232877399</v>
      </c>
      <c r="Q225" s="2145">
        <v>3.2045504513840299</v>
      </c>
      <c r="R225" s="909">
        <v>4.1969832549377299</v>
      </c>
      <c r="S225" s="998">
        <v>4.8331301149227697</v>
      </c>
      <c r="T225" s="1123">
        <v>4.5809078625576598</v>
      </c>
    </row>
    <row r="226" spans="1:20">
      <c r="A226" t="s">
        <v>670</v>
      </c>
      <c r="B226" s="6" t="str">
        <f>HYPERLINK("http://www.ncbi.nlm.nih.gov/gene/19130", "19130")</f>
        <v>19130</v>
      </c>
      <c r="C226" s="6" t="str">
        <f>HYPERLINK("http://www.ncbi.nlm.nih.gov/gene/5629", "5629")</f>
        <v>5629</v>
      </c>
      <c r="D226" t="str">
        <f>"Prox1"</f>
        <v>Prox1</v>
      </c>
      <c r="E226" t="s">
        <v>671</v>
      </c>
      <c r="F226" t="s">
        <v>704</v>
      </c>
      <c r="H226" s="516">
        <v>2</v>
      </c>
      <c r="I226" s="314">
        <v>3.9936321411753699</v>
      </c>
      <c r="J226" s="133">
        <v>3.7337124560684298</v>
      </c>
      <c r="K226" s="474">
        <v>4.02237968991302</v>
      </c>
      <c r="L226" s="1942">
        <v>3.1755347397103599</v>
      </c>
      <c r="M226" s="1559">
        <v>2.87562481984487</v>
      </c>
      <c r="N226" s="659">
        <v>3.4366932468689502</v>
      </c>
      <c r="O226" s="989">
        <v>3.4711441772465399</v>
      </c>
      <c r="P226" s="600">
        <v>3.5321844416910402</v>
      </c>
      <c r="Q226" s="2143">
        <v>2.9820195353271099</v>
      </c>
      <c r="R226" s="657">
        <v>4.8716066894591297</v>
      </c>
      <c r="S226" s="1030">
        <v>5.1424370995807402</v>
      </c>
      <c r="T226" s="1023">
        <v>4.6505777480525303</v>
      </c>
    </row>
    <row r="227" spans="1:20">
      <c r="A227" t="s">
        <v>727</v>
      </c>
      <c r="B227" s="6" t="str">
        <f>HYPERLINK("http://www.ncbi.nlm.nih.gov/gene/192166", "192166")</f>
        <v>192166</v>
      </c>
      <c r="C227" s="6" t="str">
        <f>HYPERLINK("http://www.ncbi.nlm.nih.gov/gene/1757", "1757")</f>
        <v>1757</v>
      </c>
      <c r="D227" t="str">
        <f>"Sardh"</f>
        <v>Sardh</v>
      </c>
      <c r="E227" t="s">
        <v>705</v>
      </c>
      <c r="F227" t="s">
        <v>706</v>
      </c>
      <c r="G227" t="s">
        <v>474</v>
      </c>
      <c r="H227" s="516">
        <v>2</v>
      </c>
      <c r="I227" s="476">
        <v>5.9055542654509203</v>
      </c>
      <c r="J227" s="255">
        <v>5.8796439015545197</v>
      </c>
      <c r="K227" s="340">
        <v>6.1928791356386297</v>
      </c>
      <c r="L227" s="2146">
        <v>5.2326330361551197</v>
      </c>
      <c r="M227" s="1153">
        <v>5.0134030255459496</v>
      </c>
      <c r="N227" s="1337">
        <v>4.9930781756271196</v>
      </c>
      <c r="O227" s="1024">
        <v>5.18249716057292</v>
      </c>
      <c r="P227" s="555">
        <v>5.0852186558736099</v>
      </c>
      <c r="Q227" s="2147">
        <v>5.0385235768264902</v>
      </c>
      <c r="R227" s="697">
        <v>6.72805633115654</v>
      </c>
      <c r="S227" s="558">
        <v>6.6323005010567702</v>
      </c>
      <c r="T227" s="1189">
        <v>6.5138094226693504</v>
      </c>
    </row>
    <row r="228" spans="1:20">
      <c r="A228" t="s">
        <v>707</v>
      </c>
      <c r="B228" s="6" t="str">
        <f>HYPERLINK("http://www.ncbi.nlm.nih.gov/gene/268354", "268354")</f>
        <v>268354</v>
      </c>
      <c r="C228" s="6" t="str">
        <f>HYPERLINK("http://www.ncbi.nlm.nih.gov/gene/338811", "338811")</f>
        <v>338811</v>
      </c>
      <c r="D228" t="str">
        <f>"Fam19a2"</f>
        <v>Fam19a2</v>
      </c>
      <c r="E228" t="s">
        <v>708</v>
      </c>
      <c r="F228" t="s">
        <v>709</v>
      </c>
      <c r="H228" s="516">
        <v>2</v>
      </c>
      <c r="I228" s="63">
        <v>4.2531992662275799</v>
      </c>
      <c r="J228" s="480">
        <v>4.3867138351755601</v>
      </c>
      <c r="K228" s="464">
        <v>4.4514413819982197</v>
      </c>
      <c r="L228" s="1947">
        <v>2.972225722818</v>
      </c>
      <c r="M228" s="864">
        <v>3.2234389531328702</v>
      </c>
      <c r="N228" s="1289">
        <v>3.00799877465044</v>
      </c>
      <c r="O228" s="1190">
        <v>3.4058185936951002</v>
      </c>
      <c r="P228" s="1191">
        <v>3.1315151503215901</v>
      </c>
      <c r="Q228" s="2055">
        <v>3.2842563911639302</v>
      </c>
      <c r="R228" s="644">
        <v>5.8751102681283198</v>
      </c>
      <c r="S228" s="1041">
        <v>5.86042592528658</v>
      </c>
      <c r="T228" s="1066">
        <v>6.0636781482418396</v>
      </c>
    </row>
    <row r="229" spans="1:20">
      <c r="A229" t="s">
        <v>710</v>
      </c>
      <c r="B229" s="6" t="str">
        <f>HYPERLINK("http://www.ncbi.nlm.nih.gov/gene/64074", "64074")</f>
        <v>64074</v>
      </c>
      <c r="C229" s="6" t="str">
        <f>HYPERLINK("http://www.ncbi.nlm.nih.gov/gene/64094", "64094")</f>
        <v>64094</v>
      </c>
      <c r="D229" t="str">
        <f>"Smoc2"</f>
        <v>Smoc2</v>
      </c>
      <c r="E229" t="s">
        <v>711</v>
      </c>
      <c r="F229" t="s">
        <v>712</v>
      </c>
      <c r="H229" s="516">
        <v>2</v>
      </c>
      <c r="I229" s="281">
        <v>5.2630919502794304</v>
      </c>
      <c r="J229" s="185">
        <v>5.0452873039006798</v>
      </c>
      <c r="K229" s="421">
        <v>5.1891529575625297</v>
      </c>
      <c r="L229" s="1863">
        <v>4.1519557934772999</v>
      </c>
      <c r="M229" s="997">
        <v>4.1779053633785797</v>
      </c>
      <c r="N229" s="734">
        <v>4.3544248542512403</v>
      </c>
      <c r="O229" s="1192">
        <v>4.1478015082948403</v>
      </c>
      <c r="P229" s="992">
        <v>4.1915364673737203</v>
      </c>
      <c r="Q229" s="2148">
        <v>4.0980824750101004</v>
      </c>
      <c r="R229" s="858">
        <v>5.9221697152312496</v>
      </c>
      <c r="S229" s="547">
        <v>6.4990238900019204</v>
      </c>
      <c r="T229" s="1194">
        <v>6.2253188026318398</v>
      </c>
    </row>
    <row r="230" spans="1:20">
      <c r="A230" t="s">
        <v>713</v>
      </c>
      <c r="B230" s="6" t="str">
        <f>HYPERLINK("http://www.ncbi.nlm.nih.gov/gene/241447", "241447")</f>
        <v>241447</v>
      </c>
      <c r="C230" s="6" t="str">
        <f>HYPERLINK("http://www.ncbi.nlm.nih.gov/gene/253782", "253782")</f>
        <v>253782</v>
      </c>
      <c r="D230" t="str">
        <f>"Lass6"</f>
        <v>Lass6</v>
      </c>
      <c r="E230" t="s">
        <v>714</v>
      </c>
      <c r="F230" t="s">
        <v>715</v>
      </c>
      <c r="H230" s="516">
        <v>2</v>
      </c>
      <c r="I230" s="302">
        <v>8.1517219935029193</v>
      </c>
      <c r="J230" s="333">
        <v>8.0872336190544694</v>
      </c>
      <c r="K230" s="324">
        <v>8.2476485699248592</v>
      </c>
      <c r="L230" s="1858">
        <v>7.7040355004741299</v>
      </c>
      <c r="M230" s="1439">
        <v>7.5801095043276003</v>
      </c>
      <c r="N230" s="688">
        <v>7.7118525450804301</v>
      </c>
      <c r="O230" s="1184">
        <v>7.5246491191510199</v>
      </c>
      <c r="P230" s="578">
        <v>7.5921105108940496</v>
      </c>
      <c r="Q230" s="2149">
        <v>7.8082504753767097</v>
      </c>
      <c r="R230" s="559">
        <v>8.6508516126346908</v>
      </c>
      <c r="S230" s="678">
        <v>8.8438075765673201</v>
      </c>
      <c r="T230" s="1195">
        <v>8.7532027030446695</v>
      </c>
    </row>
    <row r="231" spans="1:20">
      <c r="A231" t="s">
        <v>716</v>
      </c>
      <c r="B231" s="6" t="str">
        <f>HYPERLINK("http://www.ncbi.nlm.nih.gov/gene/14012", "14012")</f>
        <v>14012</v>
      </c>
      <c r="C231" s="6" t="str">
        <f>HYPERLINK("http://www.ncbi.nlm.nih.gov/gene/10205", "10205")</f>
        <v>10205</v>
      </c>
      <c r="D231" t="str">
        <f>"Mpzl2"</f>
        <v>Mpzl2</v>
      </c>
      <c r="E231" t="s">
        <v>717</v>
      </c>
      <c r="F231" t="s">
        <v>718</v>
      </c>
      <c r="H231" s="516">
        <v>2</v>
      </c>
      <c r="I231" s="235">
        <v>5.44024807187271</v>
      </c>
      <c r="J231" s="283">
        <v>5.5683577034469796</v>
      </c>
      <c r="K231" s="364">
        <v>5.7963679320692103</v>
      </c>
      <c r="L231" s="2150">
        <v>4.1519477365327697</v>
      </c>
      <c r="M231" s="1550">
        <v>4.5620161957003704</v>
      </c>
      <c r="N231" s="987">
        <v>4.6181660469191197</v>
      </c>
      <c r="O231" s="1196">
        <v>5.1793609143801902</v>
      </c>
      <c r="P231" s="543">
        <v>5.0780600912843203</v>
      </c>
      <c r="Q231" s="2151">
        <v>5.0508067098200398</v>
      </c>
      <c r="R231" s="634">
        <v>6.1250760302958804</v>
      </c>
      <c r="S231" s="607">
        <v>6.4882905090401897</v>
      </c>
      <c r="T231" s="1088">
        <v>6.2602425856514499</v>
      </c>
    </row>
    <row r="232" spans="1:20">
      <c r="A232" t="s">
        <v>719</v>
      </c>
      <c r="B232" s="6" t="str">
        <f>HYPERLINK("http://www.ncbi.nlm.nih.gov/gene/56501", "56501")</f>
        <v>56501</v>
      </c>
      <c r="C232" s="6" t="str">
        <f>HYPERLINK("http://www.ncbi.nlm.nih.gov/gene/2000", "2000")</f>
        <v>2000</v>
      </c>
      <c r="D232" t="str">
        <f>"Elf4"</f>
        <v>Elf4</v>
      </c>
      <c r="E232" t="s">
        <v>720</v>
      </c>
      <c r="F232" t="s">
        <v>721</v>
      </c>
      <c r="H232" s="516">
        <v>2</v>
      </c>
      <c r="I232" s="408">
        <v>5.6644906614515396</v>
      </c>
      <c r="J232" s="205">
        <v>5.4754012717888996</v>
      </c>
      <c r="K232" s="393">
        <v>5.8698191990062796</v>
      </c>
      <c r="L232" s="2152">
        <v>4.3865038599004</v>
      </c>
      <c r="M232" s="1134">
        <v>4.6421118218685899</v>
      </c>
      <c r="N232" s="987">
        <v>4.7690559419266298</v>
      </c>
      <c r="O232" s="1197">
        <v>5.2386587365662596</v>
      </c>
      <c r="P232" s="832">
        <v>5.1514580261910004</v>
      </c>
      <c r="Q232" s="2153">
        <v>5.28564807585962</v>
      </c>
      <c r="R232" s="1198">
        <v>6.2760044669337001</v>
      </c>
      <c r="S232" s="698">
        <v>6.4037077455233797</v>
      </c>
      <c r="T232" s="1199">
        <v>6.3278799152523302</v>
      </c>
    </row>
    <row r="233" spans="1:20">
      <c r="A233" t="s">
        <v>722</v>
      </c>
      <c r="B233" s="6" t="str">
        <f>HYPERLINK("http://www.ncbi.nlm.nih.gov/gene/16009", "16009")</f>
        <v>16009</v>
      </c>
      <c r="C233" s="6" t="str">
        <f>HYPERLINK("http://www.ncbi.nlm.nih.gov/gene/3486", "3486")</f>
        <v>3486</v>
      </c>
      <c r="D233" t="str">
        <f>"Igfbp3"</f>
        <v>Igfbp3</v>
      </c>
      <c r="E233" t="s">
        <v>723</v>
      </c>
      <c r="F233" t="s">
        <v>724</v>
      </c>
      <c r="G233" t="s">
        <v>403</v>
      </c>
      <c r="H233" s="516">
        <v>2</v>
      </c>
      <c r="I233" s="434">
        <v>7.7678580030977002</v>
      </c>
      <c r="J233" s="481">
        <v>7.8922246341763298</v>
      </c>
      <c r="K233" s="372">
        <v>7.7909249302148798</v>
      </c>
      <c r="L233" s="2154">
        <v>6.4203084141500097</v>
      </c>
      <c r="M233" s="1330">
        <v>6.5736575284139303</v>
      </c>
      <c r="N233" s="1653">
        <v>6.2875932021497798</v>
      </c>
      <c r="O233" s="1200">
        <v>6.8909408620941699</v>
      </c>
      <c r="P233" s="549">
        <v>7.0407621496602202</v>
      </c>
      <c r="Q233" s="2058">
        <v>7.04077252634724</v>
      </c>
      <c r="R233" s="558">
        <v>8.5538102152779594</v>
      </c>
      <c r="S233" s="559">
        <v>8.4499745815006992</v>
      </c>
      <c r="T233" s="1201">
        <v>8.4388495802172994</v>
      </c>
    </row>
    <row r="234" spans="1:20">
      <c r="A234" t="s">
        <v>725</v>
      </c>
      <c r="B234" s="6" t="str">
        <f>HYPERLINK("http://www.ncbi.nlm.nih.gov/gene/12554", "12554")</f>
        <v>12554</v>
      </c>
      <c r="C234" s="6" t="str">
        <f>HYPERLINK("http://www.ncbi.nlm.nih.gov/gene/1012", "1012")</f>
        <v>1012</v>
      </c>
      <c r="D234" t="str">
        <f>"Cdh13"</f>
        <v>Cdh13</v>
      </c>
      <c r="E234" t="s">
        <v>726</v>
      </c>
      <c r="F234" t="s">
        <v>728</v>
      </c>
      <c r="H234" s="516">
        <v>2</v>
      </c>
      <c r="I234" s="282">
        <v>6.8147428964796504</v>
      </c>
      <c r="J234" s="406">
        <v>7.0794192398823803</v>
      </c>
      <c r="K234" s="438">
        <v>6.9575606680518796</v>
      </c>
      <c r="L234" s="2155">
        <v>5.8211818514524598</v>
      </c>
      <c r="M234" s="856">
        <v>5.8675452040401499</v>
      </c>
      <c r="N234" s="1591">
        <v>5.8628994009689199</v>
      </c>
      <c r="O234" s="1202">
        <v>6.0766532139454696</v>
      </c>
      <c r="P234" s="636">
        <v>6.2614171614662499</v>
      </c>
      <c r="Q234" s="2076">
        <v>6.2609803142365497</v>
      </c>
      <c r="R234" s="618">
        <v>7.2972797800592897</v>
      </c>
      <c r="S234" s="1157">
        <v>7.4166417321028204</v>
      </c>
      <c r="T234" s="1203">
        <v>7.51982171905368</v>
      </c>
    </row>
    <row r="235" spans="1:20">
      <c r="A235" t="s">
        <v>729</v>
      </c>
      <c r="B235" s="6" t="str">
        <f>HYPERLINK("http://www.ncbi.nlm.nih.gov/gene/17022", "17022")</f>
        <v>17022</v>
      </c>
      <c r="C235" s="6" t="str">
        <f>HYPERLINK("http://www.ncbi.nlm.nih.gov/gene/4060", "4060")</f>
        <v>4060</v>
      </c>
      <c r="D235" t="str">
        <f>"Lum"</f>
        <v>Lum</v>
      </c>
      <c r="E235" t="s">
        <v>730</v>
      </c>
      <c r="F235" t="s">
        <v>743</v>
      </c>
      <c r="H235" s="516">
        <v>2</v>
      </c>
      <c r="I235" s="431">
        <v>9.2390007269153394</v>
      </c>
      <c r="J235" s="431">
        <v>9.2380729420731704</v>
      </c>
      <c r="K235" s="418">
        <v>9.3581312142301005</v>
      </c>
      <c r="L235" s="2156">
        <v>8.1898951001867797</v>
      </c>
      <c r="M235" s="1550">
        <v>8.3651038086720604</v>
      </c>
      <c r="N235" s="1160">
        <v>8.2421191258764104</v>
      </c>
      <c r="O235" s="1069">
        <v>8.6116108478381594</v>
      </c>
      <c r="P235" s="533">
        <v>8.6940333287440996</v>
      </c>
      <c r="Q235" s="2157">
        <v>8.8146369308070192</v>
      </c>
      <c r="R235" s="927">
        <v>9.4558849402793808</v>
      </c>
      <c r="S235" s="769">
        <v>9.6180961167639207</v>
      </c>
      <c r="T235" s="1123">
        <v>9.6994167835204195</v>
      </c>
    </row>
    <row r="236" spans="1:20">
      <c r="A236" t="s">
        <v>744</v>
      </c>
      <c r="B236" s="6" t="str">
        <f>HYPERLINK("http://www.ncbi.nlm.nih.gov/gene/18096", "18096")</f>
        <v>18096</v>
      </c>
      <c r="C236" s="6" t="str">
        <f>HYPERLINK("http://www.ncbi.nlm.nih.gov/gene/4825", "4825")</f>
        <v>4825</v>
      </c>
      <c r="D236" t="str">
        <f>"Nkx6-1"</f>
        <v>Nkx6-1</v>
      </c>
      <c r="E236" t="s">
        <v>745</v>
      </c>
      <c r="F236" t="s">
        <v>731</v>
      </c>
      <c r="G236" t="s">
        <v>732</v>
      </c>
      <c r="H236" s="516">
        <v>2</v>
      </c>
      <c r="I236" s="312">
        <v>4.1451786278591198</v>
      </c>
      <c r="J236" s="154">
        <v>4.3222612881451798</v>
      </c>
      <c r="K236" s="270">
        <v>4.0652453431924602</v>
      </c>
      <c r="L236" s="1882">
        <v>4.4610743464385001</v>
      </c>
      <c r="M236" s="594">
        <v>4.4595029312482204</v>
      </c>
      <c r="N236" s="670">
        <v>4.5764352129876604</v>
      </c>
      <c r="O236" s="1204">
        <v>4.5783586239658396</v>
      </c>
      <c r="P236" s="650">
        <v>4.7072054076705099</v>
      </c>
      <c r="Q236" s="2158">
        <v>4.6372699834828097</v>
      </c>
      <c r="R236" s="559">
        <v>5.5070004317520302</v>
      </c>
      <c r="S236" s="526">
        <v>5.9865517914498598</v>
      </c>
      <c r="T236" s="1205">
        <v>5.5739183588781103</v>
      </c>
    </row>
    <row r="237" spans="1:20">
      <c r="A237" t="s">
        <v>733</v>
      </c>
      <c r="B237" s="6" t="str">
        <f>HYPERLINK("http://www.ncbi.nlm.nih.gov/gene/28105", "28105")</f>
        <v>28105</v>
      </c>
      <c r="C237" s="6" t="str">
        <f>HYPERLINK("http://www.ncbi.nlm.nih.gov/gene/55521", "55521")</f>
        <v>55521</v>
      </c>
      <c r="D237" t="str">
        <f>"Trim36"</f>
        <v>Trim36</v>
      </c>
      <c r="E237" t="s">
        <v>734</v>
      </c>
      <c r="F237" t="s">
        <v>753</v>
      </c>
      <c r="H237" s="516">
        <v>2</v>
      </c>
      <c r="I237" s="136">
        <v>3.3161314213955499</v>
      </c>
      <c r="J237" s="46">
        <v>3.4768161871165</v>
      </c>
      <c r="K237" s="337">
        <v>2.83560906532212</v>
      </c>
      <c r="L237" s="1893">
        <v>3.4985043064092598</v>
      </c>
      <c r="M237" s="549">
        <v>3.6563734998653601</v>
      </c>
      <c r="N237" s="690">
        <v>4.0564896548578799</v>
      </c>
      <c r="O237" s="1206">
        <v>3.8931225840958801</v>
      </c>
      <c r="P237" s="1207">
        <v>4.0417427395111503</v>
      </c>
      <c r="Q237" s="2157">
        <v>3.8310859441265102</v>
      </c>
      <c r="R237" s="753">
        <v>5.1947669348225096</v>
      </c>
      <c r="S237" s="582">
        <v>5.5030131846143</v>
      </c>
      <c r="T237" s="1045">
        <v>5.5395355947988598</v>
      </c>
    </row>
    <row r="238" spans="1:20">
      <c r="A238" t="s">
        <v>754</v>
      </c>
      <c r="B238" s="6" t="str">
        <f>HYPERLINK("http://www.ncbi.nlm.nih.gov/gene/56747", "56747")</f>
        <v>56747</v>
      </c>
      <c r="C238" s="6" t="str">
        <f>HYPERLINK("http://www.ncbi.nlm.nih.gov/gene/23544", "23544")</f>
        <v>23544</v>
      </c>
      <c r="D238" t="str">
        <f>"Sez6l"</f>
        <v>Sez6l</v>
      </c>
      <c r="E238" t="s">
        <v>755</v>
      </c>
      <c r="F238" t="s">
        <v>735</v>
      </c>
      <c r="H238" s="516">
        <v>2</v>
      </c>
      <c r="I238" s="236">
        <v>4.3442277638302897</v>
      </c>
      <c r="J238" s="239">
        <v>4.4513500383175604</v>
      </c>
      <c r="K238" s="433">
        <v>3.9695427224214601</v>
      </c>
      <c r="L238" s="2159">
        <v>4.9252618743541197</v>
      </c>
      <c r="M238" s="658">
        <v>4.9481001017099802</v>
      </c>
      <c r="N238" s="705">
        <v>4.8936455741009297</v>
      </c>
      <c r="O238" s="1208">
        <v>4.9916988765453896</v>
      </c>
      <c r="P238" s="1207">
        <v>4.9884120358784898</v>
      </c>
      <c r="Q238" s="2160">
        <v>4.8046620178675301</v>
      </c>
      <c r="R238" s="815">
        <v>6.1279041799964196</v>
      </c>
      <c r="S238" s="1198">
        <v>5.78705581653686</v>
      </c>
      <c r="T238" s="1123">
        <v>5.8906818582650304</v>
      </c>
    </row>
    <row r="239" spans="1:20">
      <c r="A239" t="s">
        <v>736</v>
      </c>
      <c r="B239" s="6" t="str">
        <f>HYPERLINK("http://www.ncbi.nlm.nih.gov/gene/68235", "68235")</f>
        <v>68235</v>
      </c>
      <c r="C239" s="6" t="str">
        <f>HYPERLINK("http://www.ncbi.nlm.nih.gov/gene/", "")</f>
        <v/>
      </c>
      <c r="D239" t="str">
        <f>"2410066E13Rik"</f>
        <v>2410066E13Rik</v>
      </c>
      <c r="E239" t="s">
        <v>737</v>
      </c>
      <c r="F239" t="s">
        <v>90</v>
      </c>
      <c r="H239" s="516">
        <v>2</v>
      </c>
      <c r="I239" s="164">
        <v>4.0754742598749401</v>
      </c>
      <c r="J239" s="43">
        <v>4.4750138784667604</v>
      </c>
      <c r="K239" s="210">
        <v>4.0570050609827399</v>
      </c>
      <c r="L239" s="1998">
        <v>4.82883448838483</v>
      </c>
      <c r="M239" s="1254">
        <v>5.1327987497071303</v>
      </c>
      <c r="N239" s="655">
        <v>4.8200230917618203</v>
      </c>
      <c r="O239" s="1094">
        <v>4.9082509163760903</v>
      </c>
      <c r="P239" s="655">
        <v>4.8204905860558602</v>
      </c>
      <c r="Q239" s="2060">
        <v>4.8757754542459004</v>
      </c>
      <c r="R239" s="686">
        <v>6.6001413980486996</v>
      </c>
      <c r="S239" s="661">
        <v>6.6545509679997403</v>
      </c>
      <c r="T239" s="1063">
        <v>6.6700891052837497</v>
      </c>
    </row>
    <row r="240" spans="1:20">
      <c r="A240" t="s">
        <v>738</v>
      </c>
      <c r="B240" s="6" t="str">
        <f>HYPERLINK("http://www.ncbi.nlm.nih.gov/gene/110886", "110886")</f>
        <v>110886</v>
      </c>
      <c r="C240" s="6" t="str">
        <f>HYPERLINK("http://www.ncbi.nlm.nih.gov/gene/2558", "2558")</f>
        <v>2558</v>
      </c>
      <c r="D240" t="str">
        <f>"Gabra5"</f>
        <v>Gabra5</v>
      </c>
      <c r="E240" t="s">
        <v>739</v>
      </c>
      <c r="F240" t="s">
        <v>740</v>
      </c>
      <c r="G240" t="s">
        <v>106</v>
      </c>
      <c r="H240" s="516">
        <v>2</v>
      </c>
      <c r="I240" s="100">
        <v>3.1280055582055599</v>
      </c>
      <c r="J240" s="59">
        <v>3.54507583104688</v>
      </c>
      <c r="K240" s="257">
        <v>3.08475019607019</v>
      </c>
      <c r="L240" s="2161">
        <v>3.9736152313767699</v>
      </c>
      <c r="M240" s="726">
        <v>4.0905275913100203</v>
      </c>
      <c r="N240" s="672">
        <v>4.0946087204527402</v>
      </c>
      <c r="O240" s="1093">
        <v>3.8649469968820598</v>
      </c>
      <c r="P240" s="669">
        <v>3.76247381459681</v>
      </c>
      <c r="Q240" s="2069">
        <v>3.7541040418941898</v>
      </c>
      <c r="R240" s="804">
        <v>5.4424450502113002</v>
      </c>
      <c r="S240" s="597">
        <v>5.70703112529017</v>
      </c>
      <c r="T240" s="1101">
        <v>5.5204170454685402</v>
      </c>
    </row>
    <row r="241" spans="1:20">
      <c r="A241" t="s">
        <v>741</v>
      </c>
      <c r="B241" s="6" t="str">
        <f>HYPERLINK("http://www.ncbi.nlm.nih.gov/gene/226075", "226075")</f>
        <v>226075</v>
      </c>
      <c r="C241" s="6" t="str">
        <f>HYPERLINK("http://www.ncbi.nlm.nih.gov/gene/169792", "169792")</f>
        <v>169792</v>
      </c>
      <c r="D241" t="str">
        <f>"Glis3"</f>
        <v>Glis3</v>
      </c>
      <c r="E241" t="s">
        <v>742</v>
      </c>
      <c r="F241" t="s">
        <v>746</v>
      </c>
      <c r="H241" s="516">
        <v>2</v>
      </c>
      <c r="I241" s="423">
        <v>3.6403329930540398</v>
      </c>
      <c r="J241" s="81">
        <v>4.3180810358675004</v>
      </c>
      <c r="K241" s="135">
        <v>4.0751691265952097</v>
      </c>
      <c r="L241" s="1927">
        <v>4.8291639544749598</v>
      </c>
      <c r="M241" s="670">
        <v>4.7660370005223598</v>
      </c>
      <c r="N241" s="1226">
        <v>5.0802924896773698</v>
      </c>
      <c r="O241" s="1209">
        <v>4.6930627803173302</v>
      </c>
      <c r="P241" s="670">
        <v>4.7676564857390904</v>
      </c>
      <c r="Q241" s="2077">
        <v>4.7136186656380099</v>
      </c>
      <c r="R241" s="653">
        <v>6.79887676452456</v>
      </c>
      <c r="S241" s="698">
        <v>6.4752845536606802</v>
      </c>
      <c r="T241" s="1210">
        <v>6.5103073561674796</v>
      </c>
    </row>
    <row r="242" spans="1:20">
      <c r="A242" t="s">
        <v>747</v>
      </c>
      <c r="B242" s="6" t="str">
        <f>HYPERLINK("http://www.ncbi.nlm.nih.gov/gene/93683", "93683")</f>
        <v>93683</v>
      </c>
      <c r="C242" s="6" t="str">
        <f>HYPERLINK("http://www.ncbi.nlm.nih.gov/gene/26035", "26035")</f>
        <v>26035</v>
      </c>
      <c r="D242" t="str">
        <f>"Glce"</f>
        <v>Glce</v>
      </c>
      <c r="E242" t="s">
        <v>748</v>
      </c>
      <c r="F242" t="s">
        <v>749</v>
      </c>
      <c r="G242" t="s">
        <v>750</v>
      </c>
      <c r="H242" s="516">
        <v>2</v>
      </c>
      <c r="I242" s="312">
        <v>6.30277191019439</v>
      </c>
      <c r="J242" s="142">
        <v>6.3478817143349202</v>
      </c>
      <c r="K242" s="100">
        <v>6.2013581858667699</v>
      </c>
      <c r="L242" s="2162">
        <v>6.7188303996666798</v>
      </c>
      <c r="M242" s="533">
        <v>6.64795259368882</v>
      </c>
      <c r="N242" s="650">
        <v>6.9328783371430802</v>
      </c>
      <c r="O242" s="1211">
        <v>6.9485969064186701</v>
      </c>
      <c r="P242" s="790">
        <v>6.8507255518983401</v>
      </c>
      <c r="Q242" s="2077">
        <v>6.7506816871325004</v>
      </c>
      <c r="R242" s="597">
        <v>8.1455644981816206</v>
      </c>
      <c r="S242" s="565">
        <v>8.0762010231462806</v>
      </c>
      <c r="T242" s="1212">
        <v>7.8772702770222098</v>
      </c>
    </row>
    <row r="243" spans="1:20">
      <c r="A243" t="s">
        <v>751</v>
      </c>
      <c r="B243" s="6" t="str">
        <f>HYPERLINK("http://www.ncbi.nlm.nih.gov/gene/21834", "21834")</f>
        <v>21834</v>
      </c>
      <c r="C243" s="6" t="str">
        <f>HYPERLINK("http://www.ncbi.nlm.nih.gov/gene/7068", "7068")</f>
        <v>7068</v>
      </c>
      <c r="D243" t="str">
        <f>"Thrb"</f>
        <v>Thrb</v>
      </c>
      <c r="E243" t="s">
        <v>752</v>
      </c>
      <c r="F243" t="s">
        <v>756</v>
      </c>
      <c r="G243" t="s">
        <v>106</v>
      </c>
      <c r="H243" s="516">
        <v>2</v>
      </c>
      <c r="I243" s="260">
        <v>4.0351910698243598</v>
      </c>
      <c r="J243" s="327">
        <v>4.2382648186909497</v>
      </c>
      <c r="K243" s="150">
        <v>4.1016081587110103</v>
      </c>
      <c r="L243" s="2163">
        <v>5.2796955663313598</v>
      </c>
      <c r="M243" s="798">
        <v>5.56069982199047</v>
      </c>
      <c r="N243" s="670">
        <v>5.18449541525609</v>
      </c>
      <c r="O243" s="1112">
        <v>5.2583185825562397</v>
      </c>
      <c r="P243" s="670">
        <v>5.1815569428846198</v>
      </c>
      <c r="Q243" s="2164">
        <v>5.67636415528772</v>
      </c>
      <c r="R243" s="707">
        <v>7.2661225733137602</v>
      </c>
      <c r="S243" s="725">
        <v>7.3978941975724197</v>
      </c>
      <c r="T243" s="1214">
        <v>7.0383278604150803</v>
      </c>
    </row>
    <row r="244" spans="1:20">
      <c r="A244" t="s">
        <v>757</v>
      </c>
      <c r="B244" s="6" t="str">
        <f>HYPERLINK("http://www.ncbi.nlm.nih.gov/gene/20309", "20309")</f>
        <v>20309</v>
      </c>
      <c r="C244" s="6" t="str">
        <f>HYPERLINK("http://www.ncbi.nlm.nih.gov/gene/", "")</f>
        <v/>
      </c>
      <c r="D244" t="str">
        <f>"Cxcl15"</f>
        <v>Cxcl15</v>
      </c>
      <c r="E244" t="s">
        <v>758</v>
      </c>
      <c r="F244" t="s">
        <v>759</v>
      </c>
      <c r="G244" t="s">
        <v>60</v>
      </c>
      <c r="H244" s="516">
        <v>2</v>
      </c>
      <c r="I244" s="210">
        <v>3.5933967893880601</v>
      </c>
      <c r="J244" s="122">
        <v>3.8210978294381901</v>
      </c>
      <c r="K244" s="468">
        <v>3.46577486622509</v>
      </c>
      <c r="L244" s="1955">
        <v>4.9239691289823</v>
      </c>
      <c r="M244" s="743">
        <v>5.6134825810519402</v>
      </c>
      <c r="N244" s="726">
        <v>5.6763905004529001</v>
      </c>
      <c r="O244" s="736">
        <v>5.5921214033113502</v>
      </c>
      <c r="P244" s="1215">
        <v>5.4470902598542503</v>
      </c>
      <c r="Q244" s="2165">
        <v>5.7594154072807804</v>
      </c>
      <c r="R244" s="762">
        <v>8.5278053925575001</v>
      </c>
      <c r="S244" s="666">
        <v>8.7959639168328607</v>
      </c>
      <c r="T244" s="1026">
        <v>8.8927305456193206</v>
      </c>
    </row>
    <row r="245" spans="1:20">
      <c r="A245" t="s">
        <v>760</v>
      </c>
      <c r="B245" s="6" t="str">
        <f>HYPERLINK("http://www.ncbi.nlm.nih.gov/gene/76829", "76829")</f>
        <v>76829</v>
      </c>
      <c r="C245" s="6" t="str">
        <f>HYPERLINK("http://www.ncbi.nlm.nih.gov/gene/55816", "55816")</f>
        <v>55816</v>
      </c>
      <c r="D245" t="str">
        <f>"Dok5"</f>
        <v>Dok5</v>
      </c>
      <c r="E245" t="s">
        <v>761</v>
      </c>
      <c r="F245" t="s">
        <v>762</v>
      </c>
      <c r="H245" s="516">
        <v>2</v>
      </c>
      <c r="I245" s="135">
        <v>5.7430251788638502</v>
      </c>
      <c r="J245" s="452">
        <v>5.3976316454145001</v>
      </c>
      <c r="K245" s="195">
        <v>5.8177319513045003</v>
      </c>
      <c r="L245" s="2166">
        <v>6.2711702269548901</v>
      </c>
      <c r="M245" s="1095">
        <v>6.42014502192065</v>
      </c>
      <c r="N245" s="869">
        <v>6.3197785410226803</v>
      </c>
      <c r="O245" s="1216">
        <v>6.3146740558311896</v>
      </c>
      <c r="P245" s="738">
        <v>6.2530397641706701</v>
      </c>
      <c r="Q245" s="2167">
        <v>6.4264930559153504</v>
      </c>
      <c r="R245" s="565">
        <v>7.7483569444529499</v>
      </c>
      <c r="S245" s="693">
        <v>7.6457325909332603</v>
      </c>
      <c r="T245" s="1050">
        <v>7.6372421321527497</v>
      </c>
    </row>
    <row r="246" spans="1:20">
      <c r="A246" t="s">
        <v>763</v>
      </c>
      <c r="B246" s="6" t="str">
        <f>HYPERLINK("http://www.ncbi.nlm.nih.gov/gene/208898", "208898")</f>
        <v>208898</v>
      </c>
      <c r="C246" s="6" t="str">
        <f>HYPERLINK("http://www.ncbi.nlm.nih.gov/gene/440279", "440279")</f>
        <v>440279</v>
      </c>
      <c r="D246" t="str">
        <f>"Unc13c"</f>
        <v>Unc13c</v>
      </c>
      <c r="E246" t="s">
        <v>764</v>
      </c>
      <c r="F246" t="s">
        <v>765</v>
      </c>
      <c r="H246" s="516">
        <v>2</v>
      </c>
      <c r="I246" s="51">
        <v>2.7955049984275</v>
      </c>
      <c r="J246" s="409">
        <v>2.3136949826612501</v>
      </c>
      <c r="K246" s="257">
        <v>2.4179869870949098</v>
      </c>
      <c r="L246" s="2039">
        <v>3.28374244863467</v>
      </c>
      <c r="M246" s="700">
        <v>3.3524752179934798</v>
      </c>
      <c r="N246" s="699">
        <v>3.1945761122552798</v>
      </c>
      <c r="O246" s="1112">
        <v>3.3033858388269599</v>
      </c>
      <c r="P246" s="672">
        <v>3.4304164795251699</v>
      </c>
      <c r="Q246" s="2168">
        <v>3.3313817977004101</v>
      </c>
      <c r="R246" s="640">
        <v>5.1159205973970598</v>
      </c>
      <c r="S246" s="666">
        <v>4.88352857683868</v>
      </c>
      <c r="T246" s="1171">
        <v>4.6006394556168599</v>
      </c>
    </row>
    <row r="247" spans="1:20">
      <c r="A247" t="s">
        <v>766</v>
      </c>
      <c r="B247" s="6" t="str">
        <f>HYPERLINK("http://www.ncbi.nlm.nih.gov/gene/14394", "14394")</f>
        <v>14394</v>
      </c>
      <c r="C247" s="6" t="str">
        <f>HYPERLINK("http://www.ncbi.nlm.nih.gov/gene/2554", "2554")</f>
        <v>2554</v>
      </c>
      <c r="D247" t="str">
        <f>"Gabra1"</f>
        <v>Gabra1</v>
      </c>
      <c r="E247" t="s">
        <v>767</v>
      </c>
      <c r="F247" t="s">
        <v>768</v>
      </c>
      <c r="G247" t="s">
        <v>106</v>
      </c>
      <c r="H247" s="516">
        <v>2</v>
      </c>
      <c r="I247" s="345">
        <v>3.8699259405987001</v>
      </c>
      <c r="J247" s="482">
        <v>2.5560429557983202</v>
      </c>
      <c r="K247" s="89">
        <v>3.4534563985412299</v>
      </c>
      <c r="L247" s="2169">
        <v>3.9482877763495701</v>
      </c>
      <c r="M247" s="550">
        <v>3.82195881324111</v>
      </c>
      <c r="N247" s="750">
        <v>4.09831137185932</v>
      </c>
      <c r="O247" s="1048">
        <v>3.3767649301276799</v>
      </c>
      <c r="P247" s="738">
        <v>3.7447217251258702</v>
      </c>
      <c r="Q247" s="2170">
        <v>3.7508930769564301</v>
      </c>
      <c r="R247" s="714">
        <v>4.9273474762247798</v>
      </c>
      <c r="S247" s="617">
        <v>5.2747498075668</v>
      </c>
      <c r="T247" s="1217">
        <v>5.01502597683091</v>
      </c>
    </row>
    <row r="248" spans="1:20">
      <c r="A248" t="s">
        <v>769</v>
      </c>
      <c r="B248" s="6" t="str">
        <f>HYPERLINK("http://www.ncbi.nlm.nih.gov/gene/268890", "268890")</f>
        <v>268890</v>
      </c>
      <c r="C248" s="6" t="str">
        <f>HYPERLINK("http://www.ncbi.nlm.nih.gov/gene/4045", "4045")</f>
        <v>4045</v>
      </c>
      <c r="D248" t="str">
        <f>"Lsamp"</f>
        <v>Lsamp</v>
      </c>
      <c r="E248" t="s">
        <v>770</v>
      </c>
      <c r="F248" t="s">
        <v>771</v>
      </c>
      <c r="H248" s="516">
        <v>2</v>
      </c>
      <c r="I248" s="50">
        <v>5.7967138700026704</v>
      </c>
      <c r="J248" s="349">
        <v>5.3347495960314504</v>
      </c>
      <c r="K248" s="43">
        <v>5.7172419746036498</v>
      </c>
      <c r="L248" s="2028">
        <v>6.0778302091854304</v>
      </c>
      <c r="M248" s="1452">
        <v>6.3860849154480501</v>
      </c>
      <c r="N248" s="764">
        <v>6.3226036587594301</v>
      </c>
      <c r="O248" s="991">
        <v>5.6820290348501397</v>
      </c>
      <c r="P248" s="987">
        <v>5.5439042656706503</v>
      </c>
      <c r="Q248" s="2083">
        <v>5.9123937344994104</v>
      </c>
      <c r="R248" s="618">
        <v>6.7483390437423498</v>
      </c>
      <c r="S248" s="804">
        <v>6.9463845549519796</v>
      </c>
      <c r="T248" s="1218">
        <v>7.1219612195288304</v>
      </c>
    </row>
    <row r="249" spans="1:20">
      <c r="A249" t="s">
        <v>772</v>
      </c>
      <c r="B249" s="6" t="str">
        <f>HYPERLINK("http://www.ncbi.nlm.nih.gov/gene/224344", "224344")</f>
        <v>224344</v>
      </c>
      <c r="C249" s="6" t="str">
        <f>HYPERLINK("http://www.ncbi.nlm.nih.gov/gene/54033", "54033")</f>
        <v>54033</v>
      </c>
      <c r="D249" t="str">
        <f>"Rbm11"</f>
        <v>Rbm11</v>
      </c>
      <c r="E249" t="s">
        <v>773</v>
      </c>
      <c r="F249" t="s">
        <v>774</v>
      </c>
      <c r="H249" s="516">
        <v>2</v>
      </c>
      <c r="I249" s="65">
        <v>2.4733968392183998</v>
      </c>
      <c r="J249" s="135">
        <v>2.6125137063304402</v>
      </c>
      <c r="K249" s="239">
        <v>2.70972115040004</v>
      </c>
      <c r="L249" s="1844">
        <v>3.1194767183330701</v>
      </c>
      <c r="M249" s="1095">
        <v>3.4045057138394301</v>
      </c>
      <c r="N249" s="966">
        <v>3.82148402006698</v>
      </c>
      <c r="O249" s="1219">
        <v>3.08767205260399</v>
      </c>
      <c r="P249" s="851">
        <v>2.9908384119589102</v>
      </c>
      <c r="Q249" s="2171">
        <v>3.1701244937215298</v>
      </c>
      <c r="R249" s="1220">
        <v>4.4715007767936603</v>
      </c>
      <c r="S249" s="640">
        <v>5.1384178576841899</v>
      </c>
      <c r="T249" s="1116">
        <v>5.0636761718355103</v>
      </c>
    </row>
    <row r="250" spans="1:20">
      <c r="A250" t="s">
        <v>775</v>
      </c>
      <c r="B250" s="6" t="str">
        <f>HYPERLINK("http://www.ncbi.nlm.nih.gov/gene/17700", "17700")</f>
        <v>17700</v>
      </c>
      <c r="C250" s="6" t="str">
        <f>HYPERLINK("http://www.ncbi.nlm.nih.gov/gene/2660", "2660")</f>
        <v>2660</v>
      </c>
      <c r="D250" t="str">
        <f>"Mstn"</f>
        <v>Mstn</v>
      </c>
      <c r="E250" t="s">
        <v>776</v>
      </c>
      <c r="F250" t="s">
        <v>777</v>
      </c>
      <c r="H250" s="516">
        <v>2</v>
      </c>
      <c r="I250" s="122">
        <v>3.4113660027256101</v>
      </c>
      <c r="J250" s="285">
        <v>3.1575099381488099</v>
      </c>
      <c r="K250" s="58">
        <v>3.7375795720696701</v>
      </c>
      <c r="L250" s="2166">
        <v>4.0669957484359296</v>
      </c>
      <c r="M250" s="1228">
        <v>4.18702895164797</v>
      </c>
      <c r="N250" s="672">
        <v>4.2526953628606901</v>
      </c>
      <c r="O250" s="1221">
        <v>4.0827279101183702</v>
      </c>
      <c r="P250" s="544">
        <v>3.7393784363184301</v>
      </c>
      <c r="Q250" s="2172">
        <v>4.3471575499531996</v>
      </c>
      <c r="R250" s="855">
        <v>5.1914324370204303</v>
      </c>
      <c r="S250" s="564">
        <v>5.8147237356184398</v>
      </c>
      <c r="T250" s="1042">
        <v>5.8410435090408903</v>
      </c>
    </row>
    <row r="251" spans="1:20">
      <c r="A251" t="s">
        <v>778</v>
      </c>
      <c r="B251" s="6" t="str">
        <f>HYPERLINK("http://www.ncbi.nlm.nih.gov/gene/207521", "207521")</f>
        <v>207521</v>
      </c>
      <c r="C251" s="6" t="str">
        <f>HYPERLINK("http://www.ncbi.nlm.nih.gov/gene/23220", "23220")</f>
        <v>23220</v>
      </c>
      <c r="D251" t="str">
        <f>"Dtx4"</f>
        <v>Dtx4</v>
      </c>
      <c r="E251" t="s">
        <v>779</v>
      </c>
      <c r="F251" t="s">
        <v>780</v>
      </c>
      <c r="G251" t="s">
        <v>572</v>
      </c>
      <c r="H251" s="516">
        <v>2</v>
      </c>
      <c r="I251" s="123">
        <v>5.4175862583758496</v>
      </c>
      <c r="J251" s="24">
        <v>5.4348499271321202</v>
      </c>
      <c r="K251" s="237">
        <v>5.3030988295217201</v>
      </c>
      <c r="L251" s="1921">
        <v>6.0518032857720296</v>
      </c>
      <c r="M251" s="906">
        <v>5.8694837096085601</v>
      </c>
      <c r="N251" s="869">
        <v>5.9094755067087101</v>
      </c>
      <c r="O251" s="1117">
        <v>5.6463647091486804</v>
      </c>
      <c r="P251" s="891">
        <v>5.5692307122604801</v>
      </c>
      <c r="Q251" s="2173">
        <v>5.5585260809694699</v>
      </c>
      <c r="R251" s="570">
        <v>7.4673209103308498</v>
      </c>
      <c r="S251" s="682">
        <v>7.6374664077075698</v>
      </c>
      <c r="T251" s="1059">
        <v>7.55968644038881</v>
      </c>
    </row>
    <row r="252" spans="1:20">
      <c r="A252" t="s">
        <v>781</v>
      </c>
      <c r="B252" s="6" t="str">
        <f>HYPERLINK("http://www.ncbi.nlm.nih.gov/gene/108760", "108760")</f>
        <v>108760</v>
      </c>
      <c r="C252" s="6" t="str">
        <f>HYPERLINK("http://www.ncbi.nlm.nih.gov/gene/57452", "57452")</f>
        <v>57452</v>
      </c>
      <c r="D252" t="str">
        <f>"Galntl1"</f>
        <v>Galntl1</v>
      </c>
      <c r="E252" t="s">
        <v>782</v>
      </c>
      <c r="F252" t="s">
        <v>783</v>
      </c>
      <c r="G252" t="s">
        <v>698</v>
      </c>
      <c r="H252" s="516">
        <v>2</v>
      </c>
      <c r="I252" s="233">
        <v>4.1657727584850299</v>
      </c>
      <c r="J252" s="80">
        <v>4.2463377046689201</v>
      </c>
      <c r="K252" s="75">
        <v>4.30190851316621</v>
      </c>
      <c r="L252" s="2174">
        <v>5.2263824590906198</v>
      </c>
      <c r="M252" s="726">
        <v>5.3056788567718396</v>
      </c>
      <c r="N252" s="743">
        <v>5.25701586991977</v>
      </c>
      <c r="O252" s="986">
        <v>4.6013852558635397</v>
      </c>
      <c r="P252" s="715">
        <v>4.5980722515177996</v>
      </c>
      <c r="Q252" s="2069">
        <v>4.8164848042611199</v>
      </c>
      <c r="R252" s="603">
        <v>7.5472151102829699</v>
      </c>
      <c r="S252" s="678">
        <v>7.5573915559223099</v>
      </c>
      <c r="T252" s="1078">
        <v>7.3238363334945502</v>
      </c>
    </row>
    <row r="253" spans="1:20">
      <c r="A253" t="s">
        <v>784</v>
      </c>
      <c r="B253" s="6" t="str">
        <f>HYPERLINK("http://www.ncbi.nlm.nih.gov/gene/67564", "67564")</f>
        <v>67564</v>
      </c>
      <c r="C253" s="6" t="str">
        <f>HYPERLINK("http://www.ncbi.nlm.nih.gov/gene/59353", "59353")</f>
        <v>59353</v>
      </c>
      <c r="D253" t="str">
        <f>"Tmem35"</f>
        <v>Tmem35</v>
      </c>
      <c r="E253" t="s">
        <v>785</v>
      </c>
      <c r="F253" t="s">
        <v>786</v>
      </c>
      <c r="H253" s="516">
        <v>2</v>
      </c>
      <c r="I253" s="233">
        <v>5.1187955232670896</v>
      </c>
      <c r="J253" s="43">
        <v>5.3312388254239096</v>
      </c>
      <c r="K253" s="64">
        <v>5.2414518075193097</v>
      </c>
      <c r="L253" s="2031">
        <v>5.8081725871223098</v>
      </c>
      <c r="M253" s="700">
        <v>5.8208726551184196</v>
      </c>
      <c r="N253" s="790">
        <v>5.7978262283181703</v>
      </c>
      <c r="O253" s="1012">
        <v>5.3810519073452898</v>
      </c>
      <c r="P253" s="734">
        <v>5.3868795766232003</v>
      </c>
      <c r="Q253" s="2079">
        <v>5.5700696709550197</v>
      </c>
      <c r="R253" s="777">
        <v>7.3836528370872898</v>
      </c>
      <c r="S253" s="598">
        <v>7.3704103351125596</v>
      </c>
      <c r="T253" s="1222">
        <v>7.4554789516497504</v>
      </c>
    </row>
    <row r="254" spans="1:20">
      <c r="A254" t="s">
        <v>787</v>
      </c>
      <c r="B254" s="6" t="str">
        <f>HYPERLINK("http://www.ncbi.nlm.nih.gov/gene/21908", "21908")</f>
        <v>21908</v>
      </c>
      <c r="C254" s="6" t="str">
        <f>HYPERLINK("http://www.ncbi.nlm.nih.gov/gene/3195", "3195")</f>
        <v>3195</v>
      </c>
      <c r="D254" t="str">
        <f>"Tlx1"</f>
        <v>Tlx1</v>
      </c>
      <c r="E254" t="s">
        <v>788</v>
      </c>
      <c r="F254" t="s">
        <v>789</v>
      </c>
      <c r="H254" s="516">
        <v>2</v>
      </c>
      <c r="I254" s="62">
        <v>3.9773199211448498</v>
      </c>
      <c r="J254" s="180">
        <v>3.42093514839262</v>
      </c>
      <c r="K254" s="311">
        <v>3.67169974577864</v>
      </c>
      <c r="L254" s="2039">
        <v>4.2503503388116002</v>
      </c>
      <c r="M254" s="1122">
        <v>4.5466274479558697</v>
      </c>
      <c r="N254" s="579">
        <v>3.9743095253209302</v>
      </c>
      <c r="O254" s="1089">
        <v>3.7568584570374099</v>
      </c>
      <c r="P254" s="1002">
        <v>3.8077839228391599</v>
      </c>
      <c r="Q254" s="2077">
        <v>4.1370702818088301</v>
      </c>
      <c r="R254" s="810">
        <v>6.3516916077570702</v>
      </c>
      <c r="S254" s="686">
        <v>6.0619151699385103</v>
      </c>
      <c r="T254" s="1195">
        <v>5.9994504640050597</v>
      </c>
    </row>
    <row r="255" spans="1:20">
      <c r="A255" t="s">
        <v>790</v>
      </c>
      <c r="B255" s="6" t="str">
        <f>HYPERLINK("http://www.ncbi.nlm.nih.gov/gene/12563", "12563")</f>
        <v>12563</v>
      </c>
      <c r="C255" s="6" t="str">
        <f>HYPERLINK("http://www.ncbi.nlm.nih.gov/gene/1004", "1004")</f>
        <v>1004</v>
      </c>
      <c r="D255" t="str">
        <f>"Cdh6"</f>
        <v>Cdh6</v>
      </c>
      <c r="E255" t="s">
        <v>791</v>
      </c>
      <c r="F255" t="s">
        <v>792</v>
      </c>
      <c r="H255" s="516">
        <v>2</v>
      </c>
      <c r="I255" s="91">
        <v>4.88529663876845</v>
      </c>
      <c r="J255" s="175">
        <v>3.8667013594216302</v>
      </c>
      <c r="K255" s="248">
        <v>4.3725658663799898</v>
      </c>
      <c r="L255" s="2127">
        <v>5.5426891335576602</v>
      </c>
      <c r="M255" s="1065">
        <v>5.5440670452398804</v>
      </c>
      <c r="N255" s="592">
        <v>5.1286203579459597</v>
      </c>
      <c r="O255" s="1197">
        <v>5.4411640449526999</v>
      </c>
      <c r="P255" s="600">
        <v>5.3078455110648903</v>
      </c>
      <c r="Q255" s="2060">
        <v>5.4824690939069001</v>
      </c>
      <c r="R255" s="679">
        <v>8.8952833360330192</v>
      </c>
      <c r="S255" s="587">
        <v>9.09470481698588</v>
      </c>
      <c r="T255" s="1026">
        <v>8.9576234155837504</v>
      </c>
    </row>
    <row r="256" spans="1:20">
      <c r="A256" t="s">
        <v>793</v>
      </c>
      <c r="B256" s="6" t="str">
        <f>HYPERLINK("http://www.ncbi.nlm.nih.gov/gene/13527", "13527")</f>
        <v>13527</v>
      </c>
      <c r="C256" s="6" t="str">
        <f>HYPERLINK("http://www.ncbi.nlm.nih.gov/gene/1837", "1837")</f>
        <v>1837</v>
      </c>
      <c r="D256" t="str">
        <f>"Dtna"</f>
        <v>Dtna</v>
      </c>
      <c r="E256" t="s">
        <v>794</v>
      </c>
      <c r="F256" t="s">
        <v>795</v>
      </c>
      <c r="H256" s="516">
        <v>2</v>
      </c>
      <c r="I256" s="41">
        <v>4.5422058294105296</v>
      </c>
      <c r="J256" s="248">
        <v>4.1907857835178799</v>
      </c>
      <c r="K256" s="65">
        <v>4.0039976892153799</v>
      </c>
      <c r="L256" s="2175">
        <v>4.5064589307742198</v>
      </c>
      <c r="M256" s="793">
        <v>4.8567163451942896</v>
      </c>
      <c r="N256" s="1254">
        <v>4.9775843127497801</v>
      </c>
      <c r="O256" s="1046">
        <v>4.4623994640133704</v>
      </c>
      <c r="P256" s="670">
        <v>4.7440802043318104</v>
      </c>
      <c r="Q256" s="2071">
        <v>4.4691004976191797</v>
      </c>
      <c r="R256" s="586">
        <v>6.3848076718206501</v>
      </c>
      <c r="S256" s="597">
        <v>6.5411895218126199</v>
      </c>
      <c r="T256" s="1113">
        <v>6.3573690184973799</v>
      </c>
    </row>
    <row r="257" spans="1:20">
      <c r="A257" t="s">
        <v>796</v>
      </c>
      <c r="B257" s="6" t="str">
        <f>HYPERLINK("http://www.ncbi.nlm.nih.gov/gene/56715", "56715")</f>
        <v>56715</v>
      </c>
      <c r="C257" s="6" t="str">
        <f>HYPERLINK("http://www.ncbi.nlm.nih.gov/gene/27342", "27342")</f>
        <v>27342</v>
      </c>
      <c r="D257" t="str">
        <f>"Rabgef1"</f>
        <v>Rabgef1</v>
      </c>
      <c r="E257" t="s">
        <v>797</v>
      </c>
      <c r="F257" t="s">
        <v>798</v>
      </c>
      <c r="H257" s="516">
        <v>2</v>
      </c>
      <c r="I257" s="75">
        <v>6.6667857940203099</v>
      </c>
      <c r="J257" s="232">
        <v>6.3921536135400503</v>
      </c>
      <c r="K257" s="236">
        <v>6.5359251231345397</v>
      </c>
      <c r="L257" s="1917">
        <v>7.2126814346795998</v>
      </c>
      <c r="M257" s="833">
        <v>7.2536746157631402</v>
      </c>
      <c r="N257" s="726">
        <v>7.1849422215878898</v>
      </c>
      <c r="O257" s="1069">
        <v>6.8017011884877396</v>
      </c>
      <c r="P257" s="560">
        <v>6.9656539835280196</v>
      </c>
      <c r="Q257" s="2060">
        <v>7.0347921271051099</v>
      </c>
      <c r="R257" s="707">
        <v>8.2625894410201699</v>
      </c>
      <c r="S257" s="707">
        <v>8.2599684170248295</v>
      </c>
      <c r="T257" s="1066">
        <v>8.3362936995877099</v>
      </c>
    </row>
    <row r="258" spans="1:20">
      <c r="A258" t="s">
        <v>799</v>
      </c>
      <c r="B258" s="6" t="str">
        <f>HYPERLINK("http://www.ncbi.nlm.nih.gov/gene/229474", "229474")</f>
        <v>229474</v>
      </c>
      <c r="C258" s="6" t="str">
        <f>HYPERLINK("http://www.ncbi.nlm.nih.gov/gene/85462", "85462")</f>
        <v>85462</v>
      </c>
      <c r="D258" t="str">
        <f>"Fhdc1"</f>
        <v>Fhdc1</v>
      </c>
      <c r="E258" t="s">
        <v>800</v>
      </c>
      <c r="F258" t="s">
        <v>801</v>
      </c>
      <c r="H258" s="516">
        <v>2</v>
      </c>
      <c r="I258" s="312">
        <v>3.6055349178041398</v>
      </c>
      <c r="J258" s="195">
        <v>3.6799861412243802</v>
      </c>
      <c r="K258" s="270">
        <v>3.52754864664846</v>
      </c>
      <c r="L258" s="2017">
        <v>4.1886647110194097</v>
      </c>
      <c r="M258" s="798">
        <v>4.22539607306605</v>
      </c>
      <c r="N258" s="700">
        <v>4.10265634631073</v>
      </c>
      <c r="O258" s="1046">
        <v>3.8529161435055501</v>
      </c>
      <c r="P258" s="1095">
        <v>4.1418369382974598</v>
      </c>
      <c r="Q258" s="2176">
        <v>3.7937421070966302</v>
      </c>
      <c r="R258" s="823">
        <v>4.9682267841829804</v>
      </c>
      <c r="S258" s="666">
        <v>5.1171255166068601</v>
      </c>
      <c r="T258" s="1068">
        <v>5.2585477095321096</v>
      </c>
    </row>
    <row r="259" spans="1:20">
      <c r="A259" t="s">
        <v>802</v>
      </c>
      <c r="B259" s="6" t="str">
        <f>HYPERLINK("http://www.ncbi.nlm.nih.gov/gene/68797", "68797")</f>
        <v>68797</v>
      </c>
      <c r="C259" s="6" t="str">
        <f>HYPERLINK("http://www.ncbi.nlm.nih.gov/gene/5157", "5157")</f>
        <v>5157</v>
      </c>
      <c r="D259" t="str">
        <f>"Pdgfrl"</f>
        <v>Pdgfrl</v>
      </c>
      <c r="E259" t="s">
        <v>803</v>
      </c>
      <c r="F259" t="s">
        <v>691</v>
      </c>
      <c r="H259" s="516">
        <v>2</v>
      </c>
      <c r="I259" s="239">
        <v>6.0051103055812503</v>
      </c>
      <c r="J259" s="127">
        <v>6.0528014686328699</v>
      </c>
      <c r="K259" s="226">
        <v>5.8099358164812998</v>
      </c>
      <c r="L259" s="1919">
        <v>6.8884400520026299</v>
      </c>
      <c r="M259" s="750">
        <v>6.9297235589825004</v>
      </c>
      <c r="N259" s="1326">
        <v>6.6142001221120497</v>
      </c>
      <c r="O259" s="1224">
        <v>6.1208285636325002</v>
      </c>
      <c r="P259" s="592">
        <v>6.33754233649117</v>
      </c>
      <c r="Q259" s="2035">
        <v>6.1851201324499003</v>
      </c>
      <c r="R259" s="577">
        <v>8.2374927020536894</v>
      </c>
      <c r="S259" s="644">
        <v>8.1113786925969293</v>
      </c>
      <c r="T259" s="1066">
        <v>8.2587116457351399</v>
      </c>
    </row>
    <row r="260" spans="1:20">
      <c r="A260" t="s">
        <v>804</v>
      </c>
      <c r="B260" s="6" t="str">
        <f>HYPERLINK("http://www.ncbi.nlm.nih.gov/gene/14609", "14609")</f>
        <v>14609</v>
      </c>
      <c r="C260" s="6" t="str">
        <f>HYPERLINK("http://www.ncbi.nlm.nih.gov/gene/2697", "2697")</f>
        <v>2697</v>
      </c>
      <c r="D260" t="str">
        <f>"Gja1"</f>
        <v>Gja1</v>
      </c>
      <c r="E260" t="s">
        <v>805</v>
      </c>
      <c r="F260" t="s">
        <v>806</v>
      </c>
      <c r="G260" t="s">
        <v>807</v>
      </c>
      <c r="H260" s="516">
        <v>2</v>
      </c>
      <c r="I260" s="452">
        <v>8.4754139682289509</v>
      </c>
      <c r="J260" s="390">
        <v>8.3174426737650204</v>
      </c>
      <c r="K260" s="228">
        <v>8.55711506323156</v>
      </c>
      <c r="L260" s="2177">
        <v>9.5811021634578104</v>
      </c>
      <c r="M260" s="816">
        <v>9.69147794097832</v>
      </c>
      <c r="N260" s="951">
        <v>9.8381927828609701</v>
      </c>
      <c r="O260" s="1225">
        <v>9.2482202426882907</v>
      </c>
      <c r="P260" s="746">
        <v>9.4021844554478697</v>
      </c>
      <c r="Q260" s="2178">
        <v>9.4308720939392305</v>
      </c>
      <c r="R260" s="704">
        <v>10.0168880342377</v>
      </c>
      <c r="S260" s="1145">
        <v>10.2429853303088</v>
      </c>
      <c r="T260" s="1008">
        <v>10.163534234498799</v>
      </c>
    </row>
    <row r="261" spans="1:20">
      <c r="A261" t="s">
        <v>808</v>
      </c>
      <c r="B261" s="6" t="str">
        <f>HYPERLINK("http://www.ncbi.nlm.nih.gov/gene/216285", "216285")</f>
        <v>216285</v>
      </c>
      <c r="C261" s="6" t="str">
        <f>HYPERLINK("http://www.ncbi.nlm.nih.gov/gene/8092", "8092")</f>
        <v>8092</v>
      </c>
      <c r="D261" t="str">
        <f>"Alx1"</f>
        <v>Alx1</v>
      </c>
      <c r="E261" t="s">
        <v>809</v>
      </c>
      <c r="F261" t="s">
        <v>810</v>
      </c>
      <c r="H261" s="516">
        <v>2</v>
      </c>
      <c r="I261" s="429">
        <v>5.0623136507746098</v>
      </c>
      <c r="J261" s="295">
        <v>5.1236708110582603</v>
      </c>
      <c r="K261" s="342">
        <v>5.2161953825877001</v>
      </c>
      <c r="L261" s="2179">
        <v>7.2843864012858504</v>
      </c>
      <c r="M261" s="862">
        <v>7.5307833076323796</v>
      </c>
      <c r="N261" s="924">
        <v>7.4912994537067501</v>
      </c>
      <c r="O261" s="1227">
        <v>6.3325285716553097</v>
      </c>
      <c r="P261" s="854">
        <v>6.6404598717424204</v>
      </c>
      <c r="Q261" s="2180">
        <v>6.61594491708522</v>
      </c>
      <c r="R261" s="967">
        <v>7.8733970849082198</v>
      </c>
      <c r="S261" s="1071">
        <v>8.2365281159311206</v>
      </c>
      <c r="T261" s="1023">
        <v>8.0801484241724992</v>
      </c>
    </row>
    <row r="262" spans="1:20">
      <c r="A262" t="s">
        <v>811</v>
      </c>
      <c r="B262" s="6" t="str">
        <f>HYPERLINK("http://www.ncbi.nlm.nih.gov/gene/56278", "56278")</f>
        <v>56278</v>
      </c>
      <c r="C262" s="6" t="str">
        <f>HYPERLINK("http://www.ncbi.nlm.nih.gov/gene/80318", "80318")</f>
        <v>80318</v>
      </c>
      <c r="D262" t="str">
        <f>"Gkap1"</f>
        <v>Gkap1</v>
      </c>
      <c r="E262" t="s">
        <v>812</v>
      </c>
      <c r="F262" t="s">
        <v>813</v>
      </c>
      <c r="H262" s="516">
        <v>2</v>
      </c>
      <c r="I262" s="485">
        <v>5.8139002455665096</v>
      </c>
      <c r="J262" s="452">
        <v>5.9725603111584</v>
      </c>
      <c r="K262" s="243">
        <v>5.9880796577359501</v>
      </c>
      <c r="L262" s="2008">
        <v>7.1807503362778702</v>
      </c>
      <c r="M262" s="816">
        <v>7.1483127184442798</v>
      </c>
      <c r="N262" s="536">
        <v>7.3947922437628604</v>
      </c>
      <c r="O262" s="1229">
        <v>6.7899364903867703</v>
      </c>
      <c r="P262" s="726">
        <v>6.83007087626613</v>
      </c>
      <c r="Q262" s="2181">
        <v>6.9137878900384999</v>
      </c>
      <c r="R262" s="848">
        <v>7.4533550124061696</v>
      </c>
      <c r="S262" s="1082">
        <v>7.5756724425538602</v>
      </c>
      <c r="T262" s="1015">
        <v>7.5356532064244899</v>
      </c>
    </row>
    <row r="263" spans="1:20">
      <c r="A263" t="s">
        <v>814</v>
      </c>
      <c r="B263" s="6" t="str">
        <f>HYPERLINK("http://www.ncbi.nlm.nih.gov/gene/210801", "210801")</f>
        <v>210801</v>
      </c>
      <c r="C263" s="6" t="str">
        <f>HYPERLINK("http://www.ncbi.nlm.nih.gov/gene/137970", "137970")</f>
        <v>137970</v>
      </c>
      <c r="D263" t="str">
        <f>"Unc5d"</f>
        <v>Unc5d</v>
      </c>
      <c r="E263" t="s">
        <v>815</v>
      </c>
      <c r="F263" t="s">
        <v>816</v>
      </c>
      <c r="G263" t="s">
        <v>604</v>
      </c>
      <c r="H263" s="516">
        <v>2</v>
      </c>
      <c r="I263" s="452">
        <v>5.0909845470263004</v>
      </c>
      <c r="J263" s="309">
        <v>5.0343994803503902</v>
      </c>
      <c r="K263" s="337">
        <v>5.1103783961203897</v>
      </c>
      <c r="L263" s="2024">
        <v>6.3129489919326804</v>
      </c>
      <c r="M263" s="1267">
        <v>6.1858562311002396</v>
      </c>
      <c r="N263" s="923">
        <v>6.5283454198938804</v>
      </c>
      <c r="O263" s="1230">
        <v>5.8512730749847002</v>
      </c>
      <c r="P263" s="793">
        <v>5.8915981408348896</v>
      </c>
      <c r="Q263" s="2182">
        <v>5.9196615590418702</v>
      </c>
      <c r="R263" s="1120">
        <v>6.7272291740153403</v>
      </c>
      <c r="S263" s="614">
        <v>6.7308300415378701</v>
      </c>
      <c r="T263" s="957">
        <v>6.5598085770508199</v>
      </c>
    </row>
    <row r="264" spans="1:20">
      <c r="A264" t="s">
        <v>817</v>
      </c>
      <c r="B264" s="6" t="str">
        <f>HYPERLINK("http://www.ncbi.nlm.nih.gov/gene/18227", "18227")</f>
        <v>18227</v>
      </c>
      <c r="C264" s="6" t="str">
        <f>HYPERLINK("http://www.ncbi.nlm.nih.gov/gene/4929", "4929")</f>
        <v>4929</v>
      </c>
      <c r="D264" t="str">
        <f>"Nr4a2"</f>
        <v>Nr4a2</v>
      </c>
      <c r="E264" t="s">
        <v>818</v>
      </c>
      <c r="F264" t="s">
        <v>819</v>
      </c>
      <c r="H264" s="516">
        <v>2</v>
      </c>
      <c r="I264" s="278">
        <v>4.3594676711125802</v>
      </c>
      <c r="J264" s="472">
        <v>4.3786532991481897</v>
      </c>
      <c r="K264" s="232">
        <v>4.7014183812079597</v>
      </c>
      <c r="L264" s="1967">
        <v>6.9506762635341</v>
      </c>
      <c r="M264" s="966">
        <v>7.1757128889375297</v>
      </c>
      <c r="N264" s="825">
        <v>7.3904203317736599</v>
      </c>
      <c r="O264" s="1229">
        <v>6.4079192722088001</v>
      </c>
      <c r="P264" s="705">
        <v>6.3475829048905501</v>
      </c>
      <c r="Q264" s="2160">
        <v>6.1324329125794304</v>
      </c>
      <c r="R264" s="919">
        <v>8.4754329008387508</v>
      </c>
      <c r="S264" s="755">
        <v>8.7134792455116692</v>
      </c>
      <c r="T264" s="1088">
        <v>8.5779328567552895</v>
      </c>
    </row>
    <row r="265" spans="1:20">
      <c r="A265" t="s">
        <v>820</v>
      </c>
      <c r="B265" s="6" t="str">
        <f>HYPERLINK("http://www.ncbi.nlm.nih.gov/gene/100862378", "100862378")</f>
        <v>100862378</v>
      </c>
      <c r="C265" s="6" t="str">
        <f>HYPERLINK("http://www.ncbi.nlm.nih.gov/gene/", "")</f>
        <v/>
      </c>
      <c r="D265" t="str">
        <f>"LOC100862378"</f>
        <v>LOC100862378</v>
      </c>
      <c r="E265" t="s">
        <v>821</v>
      </c>
      <c r="H265" s="516">
        <v>2</v>
      </c>
      <c r="I265" s="263">
        <v>3.5748744009339801</v>
      </c>
      <c r="J265" s="429">
        <v>3.64080235420787</v>
      </c>
      <c r="K265" s="175">
        <v>3.9038129017207699</v>
      </c>
      <c r="L265" s="2009">
        <v>5.21279248710308</v>
      </c>
      <c r="M265" s="658">
        <v>4.8234621132623703</v>
      </c>
      <c r="N265" s="806">
        <v>5.2950597321411497</v>
      </c>
      <c r="O265" s="736">
        <v>4.8015339655646097</v>
      </c>
      <c r="P265" s="751">
        <v>4.9571873392552401</v>
      </c>
      <c r="Q265" s="2183">
        <v>4.8373739116562202</v>
      </c>
      <c r="R265" s="769">
        <v>5.9518283263072096</v>
      </c>
      <c r="S265" s="558">
        <v>6.0767337151967897</v>
      </c>
      <c r="T265" s="1231">
        <v>5.8436673172454903</v>
      </c>
    </row>
    <row r="266" spans="1:20">
      <c r="A266" t="s">
        <v>822</v>
      </c>
      <c r="B266" s="6" t="str">
        <f>HYPERLINK("http://www.ncbi.nlm.nih.gov/gene/73139", "73139")</f>
        <v>73139</v>
      </c>
      <c r="C266" s="6" t="str">
        <f>HYPERLINK("http://www.ncbi.nlm.nih.gov/gene/201161", "201161")</f>
        <v>201161</v>
      </c>
      <c r="D266" t="str">
        <f>"Cenpv"</f>
        <v>Cenpv</v>
      </c>
      <c r="E266" t="s">
        <v>823</v>
      </c>
      <c r="F266" t="s">
        <v>824</v>
      </c>
      <c r="H266" s="516">
        <v>2</v>
      </c>
      <c r="I266" s="337">
        <v>5.6204317556041099</v>
      </c>
      <c r="J266" s="423">
        <v>5.6168730685411097</v>
      </c>
      <c r="K266" s="471">
        <v>5.4699604076767603</v>
      </c>
      <c r="L266" s="2184">
        <v>7.1884718009187898</v>
      </c>
      <c r="M266" s="966">
        <v>6.9123900962413396</v>
      </c>
      <c r="N266" s="1452">
        <v>6.9843534178389497</v>
      </c>
      <c r="O266" s="1232">
        <v>6.5297654614625698</v>
      </c>
      <c r="P266" s="798">
        <v>6.6836167929759096</v>
      </c>
      <c r="Q266" s="2185">
        <v>6.4837389943517802</v>
      </c>
      <c r="R266" s="1233">
        <v>7.4617682880040004</v>
      </c>
      <c r="S266" s="618">
        <v>7.45229103962249</v>
      </c>
      <c r="T266" s="1023">
        <v>7.4850925263447401</v>
      </c>
    </row>
    <row r="267" spans="1:20">
      <c r="A267" t="s">
        <v>825</v>
      </c>
      <c r="B267" s="6" t="str">
        <f>HYPERLINK("http://www.ncbi.nlm.nih.gov/gene/54135", "54135")</f>
        <v>54135</v>
      </c>
      <c r="C267" s="6" t="str">
        <f>HYPERLINK("http://www.ncbi.nlm.nih.gov/gene/51599", "51599")</f>
        <v>51599</v>
      </c>
      <c r="D267" t="str">
        <f>"Lsr"</f>
        <v>Lsr</v>
      </c>
      <c r="E267" t="s">
        <v>826</v>
      </c>
      <c r="F267" t="s">
        <v>827</v>
      </c>
      <c r="H267" s="516">
        <v>2</v>
      </c>
      <c r="I267" s="228">
        <v>4.2660998322985204</v>
      </c>
      <c r="J267" s="122">
        <v>4.4588655059378199</v>
      </c>
      <c r="K267" s="486">
        <v>3.7765666181118802</v>
      </c>
      <c r="L267" s="2186">
        <v>5.6638264753433498</v>
      </c>
      <c r="M267" s="763">
        <v>5.5620950118861803</v>
      </c>
      <c r="N267" s="1305">
        <v>5.5623642334103396</v>
      </c>
      <c r="O267" s="1234">
        <v>5.0281544485357301</v>
      </c>
      <c r="P267" s="920">
        <v>5.3767974196322497</v>
      </c>
      <c r="Q267" s="2182">
        <v>5.18155802174432</v>
      </c>
      <c r="R267" s="1082">
        <v>6.12209958227933</v>
      </c>
      <c r="S267" s="919">
        <v>6.1936836979320899</v>
      </c>
      <c r="T267" s="1231">
        <v>6.12556666459058</v>
      </c>
    </row>
    <row r="268" spans="1:20">
      <c r="A268" t="s">
        <v>828</v>
      </c>
      <c r="B268" s="6" t="str">
        <f>HYPERLINK("http://www.ncbi.nlm.nih.gov/gene/18590", "18590")</f>
        <v>18590</v>
      </c>
      <c r="C268" s="6" t="str">
        <f>HYPERLINK("http://www.ncbi.nlm.nih.gov/gene/5154", "5154")</f>
        <v>5154</v>
      </c>
      <c r="D268" t="str">
        <f>"Pdgfa"</f>
        <v>Pdgfa</v>
      </c>
      <c r="E268" t="s">
        <v>829</v>
      </c>
      <c r="F268" t="s">
        <v>830</v>
      </c>
      <c r="G268" t="s">
        <v>831</v>
      </c>
      <c r="H268" s="516">
        <v>2</v>
      </c>
      <c r="I268" s="263">
        <v>5.4097419474993798</v>
      </c>
      <c r="J268" s="253">
        <v>5.7143118613064798</v>
      </c>
      <c r="K268" s="487">
        <v>5.3039228771123197</v>
      </c>
      <c r="L268" s="2187">
        <v>6.9746326896013002</v>
      </c>
      <c r="M268" s="933">
        <v>7.2218522161453098</v>
      </c>
      <c r="N268" s="1090">
        <v>6.8727416884236998</v>
      </c>
      <c r="O268" s="1099">
        <v>6.7456983569271296</v>
      </c>
      <c r="P268" s="869">
        <v>6.4904999229443696</v>
      </c>
      <c r="Q268" s="2172">
        <v>6.7011177714851398</v>
      </c>
      <c r="R268" s="858">
        <v>7.5741501428589704</v>
      </c>
      <c r="S268" s="1082">
        <v>7.5583217528544697</v>
      </c>
      <c r="T268" s="1235">
        <v>7.5331769565696503</v>
      </c>
    </row>
    <row r="269" spans="1:20">
      <c r="A269" t="s">
        <v>832</v>
      </c>
      <c r="B269" s="6" t="str">
        <f>HYPERLINK("http://www.ncbi.nlm.nih.gov/gene/14806", "14806")</f>
        <v>14806</v>
      </c>
      <c r="C269" s="6" t="str">
        <f>HYPERLINK("http://www.ncbi.nlm.nih.gov/gene/2898", "2898")</f>
        <v>2898</v>
      </c>
      <c r="D269" t="str">
        <f>"Grik2"</f>
        <v>Grik2</v>
      </c>
      <c r="E269" t="s">
        <v>833</v>
      </c>
      <c r="F269" t="s">
        <v>834</v>
      </c>
      <c r="G269" t="s">
        <v>106</v>
      </c>
      <c r="H269" s="516">
        <v>2</v>
      </c>
      <c r="I269" s="306">
        <v>3.1145752080940601</v>
      </c>
      <c r="J269" s="284">
        <v>3.1361125931740701</v>
      </c>
      <c r="K269" s="488">
        <v>2.7329060879202101</v>
      </c>
      <c r="L269" s="2015">
        <v>3.8928012052224799</v>
      </c>
      <c r="M269" s="1305">
        <v>4.0023712551290398</v>
      </c>
      <c r="N269" s="981">
        <v>4.2746141626113197</v>
      </c>
      <c r="O269" s="1236">
        <v>3.7408073060629898</v>
      </c>
      <c r="P269" s="830">
        <v>3.7745552414778598</v>
      </c>
      <c r="Q269" s="2188">
        <v>3.86516790066913</v>
      </c>
      <c r="R269" s="918">
        <v>4.3377390466040699</v>
      </c>
      <c r="S269" s="1237">
        <v>4.4370735434282098</v>
      </c>
      <c r="T269" s="1238">
        <v>4.2673512982930504</v>
      </c>
    </row>
    <row r="270" spans="1:20">
      <c r="A270" t="s">
        <v>835</v>
      </c>
      <c r="B270" s="6" t="str">
        <f>HYPERLINK("http://www.ncbi.nlm.nih.gov/gene/244579", "244579")</f>
        <v>244579</v>
      </c>
      <c r="C270" s="6" t="str">
        <f>HYPERLINK("http://www.ncbi.nlm.nih.gov/gene/27324", "27324")</f>
        <v>27324</v>
      </c>
      <c r="D270" t="str">
        <f>"Tox3"</f>
        <v>Tox3</v>
      </c>
      <c r="E270" t="s">
        <v>836</v>
      </c>
      <c r="F270" t="s">
        <v>837</v>
      </c>
      <c r="H270" s="516">
        <v>2</v>
      </c>
      <c r="I270" s="80">
        <v>4.9437406738473602</v>
      </c>
      <c r="J270" s="407">
        <v>4.4684475101624299</v>
      </c>
      <c r="K270" s="490">
        <v>4.2963606061787303</v>
      </c>
      <c r="L270" s="2004">
        <v>5.6060443290413096</v>
      </c>
      <c r="M270" s="966">
        <v>5.8112398141007802</v>
      </c>
      <c r="N270" s="836">
        <v>5.6264565002365696</v>
      </c>
      <c r="O270" s="1239">
        <v>5.5713286219871803</v>
      </c>
      <c r="P270" s="801">
        <v>5.9210073263311402</v>
      </c>
      <c r="Q270" s="1980">
        <v>5.4937464137815502</v>
      </c>
      <c r="R270" s="618">
        <v>6.3197702007435703</v>
      </c>
      <c r="S270" s="631">
        <v>6.5126834393211102</v>
      </c>
      <c r="T270" s="1141">
        <v>6.2842725026966102</v>
      </c>
    </row>
    <row r="271" spans="1:20">
      <c r="A271" t="s">
        <v>838</v>
      </c>
      <c r="B271" s="6" t="str">
        <f>HYPERLINK("http://www.ncbi.nlm.nih.gov/gene/16826", "16826")</f>
        <v>16826</v>
      </c>
      <c r="C271" s="6" t="str">
        <f>HYPERLINK("http://www.ncbi.nlm.nih.gov/gene/9079", "9079")</f>
        <v>9079</v>
      </c>
      <c r="D271" t="str">
        <f>"Ldb2"</f>
        <v>Ldb2</v>
      </c>
      <c r="E271" t="s">
        <v>839</v>
      </c>
      <c r="F271" t="s">
        <v>840</v>
      </c>
      <c r="H271" s="516">
        <v>2</v>
      </c>
      <c r="I271" s="272">
        <v>5.8793696827824897</v>
      </c>
      <c r="J271" s="491">
        <v>5.2888630874697604</v>
      </c>
      <c r="K271" s="455">
        <v>5.8394443092199699</v>
      </c>
      <c r="L271" s="1900">
        <v>7.3721519339560002</v>
      </c>
      <c r="M271" s="836">
        <v>7.4668674119291598</v>
      </c>
      <c r="N271" s="739">
        <v>7.6144397963564003</v>
      </c>
      <c r="O271" s="1240">
        <v>7.6062280926996904</v>
      </c>
      <c r="P271" s="1126">
        <v>7.7044749117940299</v>
      </c>
      <c r="Q271" s="2189">
        <v>7.8329307846037803</v>
      </c>
      <c r="R271" s="542">
        <v>8.5600939316882094</v>
      </c>
      <c r="S271" s="774">
        <v>8.6728167165320205</v>
      </c>
      <c r="T271" s="1241">
        <v>8.6860556583576898</v>
      </c>
    </row>
    <row r="272" spans="1:20">
      <c r="A272" t="s">
        <v>841</v>
      </c>
      <c r="B272" s="6" t="str">
        <f>HYPERLINK("http://www.ncbi.nlm.nih.gov/gene/11622", "11622")</f>
        <v>11622</v>
      </c>
      <c r="C272" s="6" t="str">
        <f>HYPERLINK("http://www.ncbi.nlm.nih.gov/gene/196", "196")</f>
        <v>196</v>
      </c>
      <c r="D272" t="str">
        <f>"Ahr"</f>
        <v>Ahr</v>
      </c>
      <c r="E272" t="s">
        <v>842</v>
      </c>
      <c r="F272" t="s">
        <v>843</v>
      </c>
      <c r="H272" s="516">
        <v>2</v>
      </c>
      <c r="I272" s="429">
        <v>4.9428247493723099</v>
      </c>
      <c r="J272" s="439">
        <v>4.8697465232428998</v>
      </c>
      <c r="K272" s="472">
        <v>4.9863812562017902</v>
      </c>
      <c r="L272" s="2190">
        <v>6.3314763073450502</v>
      </c>
      <c r="M272" s="1301">
        <v>6.4731582358236404</v>
      </c>
      <c r="N272" s="966">
        <v>6.4849293967267698</v>
      </c>
      <c r="O272" s="1242">
        <v>6.3273211701134402</v>
      </c>
      <c r="P272" s="1243">
        <v>6.3490846901128402</v>
      </c>
      <c r="Q272" s="2191">
        <v>6.1337454857134803</v>
      </c>
      <c r="R272" s="749">
        <v>7.1497932069194299</v>
      </c>
      <c r="S272" s="902">
        <v>7.1332617493189403</v>
      </c>
      <c r="T272" s="1023">
        <v>7.1199487853922596</v>
      </c>
    </row>
    <row r="273" spans="1:20">
      <c r="A273" t="s">
        <v>850</v>
      </c>
      <c r="B273" s="6" t="str">
        <f>HYPERLINK("http://www.ncbi.nlm.nih.gov/gene/110333", "110333")</f>
        <v>110333</v>
      </c>
      <c r="C273" s="6" t="str">
        <f>HYPERLINK("http://www.ncbi.nlm.nih.gov/gene/", "")</f>
        <v/>
      </c>
      <c r="D273" t="str">
        <f>"Rmst"</f>
        <v>Rmst</v>
      </c>
      <c r="E273" t="s">
        <v>851</v>
      </c>
      <c r="F273" t="s">
        <v>90</v>
      </c>
      <c r="H273" s="516">
        <v>2</v>
      </c>
      <c r="I273" s="492">
        <v>3.1666896822121502</v>
      </c>
      <c r="J273" s="493">
        <v>2.58454806980231</v>
      </c>
      <c r="K273" s="384">
        <v>2.83001185392598</v>
      </c>
      <c r="L273" s="2129">
        <v>5.8196396458420701</v>
      </c>
      <c r="M273" s="751">
        <v>5.6609551982790904</v>
      </c>
      <c r="N273" s="1243">
        <v>5.8943776624409896</v>
      </c>
      <c r="O273" s="1244">
        <v>5.90686000609558</v>
      </c>
      <c r="P273" s="750">
        <v>5.8158280372603199</v>
      </c>
      <c r="Q273" s="2192">
        <v>5.5408758507623199</v>
      </c>
      <c r="R273" s="858">
        <v>7.6081464707608601</v>
      </c>
      <c r="S273" s="919">
        <v>7.7237245007760498</v>
      </c>
      <c r="T273" s="990">
        <v>8.0219709102762096</v>
      </c>
    </row>
    <row r="274" spans="1:20">
      <c r="A274" t="s">
        <v>852</v>
      </c>
      <c r="B274" s="6" t="str">
        <f>HYPERLINK("http://www.ncbi.nlm.nih.gov/gene/20897", "20897")</f>
        <v>20897</v>
      </c>
      <c r="C274" s="6" t="str">
        <f>HYPERLINK("http://www.ncbi.nlm.nih.gov/gene/64220", "64220")</f>
        <v>64220</v>
      </c>
      <c r="D274" t="str">
        <f>"Stra6"</f>
        <v>Stra6</v>
      </c>
      <c r="E274" t="s">
        <v>853</v>
      </c>
      <c r="F274" t="s">
        <v>844</v>
      </c>
      <c r="H274" s="516">
        <v>2</v>
      </c>
      <c r="I274" s="215">
        <v>4.4147499026852097</v>
      </c>
      <c r="J274" s="265">
        <v>3.7451035303457201</v>
      </c>
      <c r="K274" s="354">
        <v>4.0062215795860103</v>
      </c>
      <c r="L274" s="1846">
        <v>5.0501209532418896</v>
      </c>
      <c r="M274" s="1002">
        <v>5.0899218585600003</v>
      </c>
      <c r="N274" s="583">
        <v>5.2952664387666299</v>
      </c>
      <c r="O274" s="1245">
        <v>8.0098103616880199</v>
      </c>
      <c r="P274" s="927">
        <v>8.0111934469056791</v>
      </c>
      <c r="Q274" s="2003">
        <v>7.87823654090072</v>
      </c>
      <c r="R274" s="1246">
        <v>8.0624668817508809</v>
      </c>
      <c r="S274" s="548">
        <v>8.2788540889551108</v>
      </c>
      <c r="T274" s="957">
        <v>7.98180225162666</v>
      </c>
    </row>
    <row r="275" spans="1:20">
      <c r="A275" t="s">
        <v>845</v>
      </c>
      <c r="B275" s="6" t="str">
        <f>HYPERLINK("http://www.ncbi.nlm.nih.gov/gene/14395", "14395")</f>
        <v>14395</v>
      </c>
      <c r="C275" s="6" t="str">
        <f>HYPERLINK("http://www.ncbi.nlm.nih.gov/gene/2555", "2555")</f>
        <v>2555</v>
      </c>
      <c r="D275" t="str">
        <f>"Gabra2"</f>
        <v>Gabra2</v>
      </c>
      <c r="E275" t="s">
        <v>846</v>
      </c>
      <c r="F275" t="s">
        <v>847</v>
      </c>
      <c r="G275" t="s">
        <v>106</v>
      </c>
      <c r="H275" s="516">
        <v>2</v>
      </c>
      <c r="I275" s="270">
        <v>2.8474759964457599</v>
      </c>
      <c r="J275" s="65">
        <v>2.8933833366587201</v>
      </c>
      <c r="K275" s="312">
        <v>3.0901004900420102</v>
      </c>
      <c r="L275" s="2193">
        <v>3.2460392721899098</v>
      </c>
      <c r="M275" s="891">
        <v>3.78022956586695</v>
      </c>
      <c r="N275" s="1346">
        <v>3.53743603958584</v>
      </c>
      <c r="O275" s="983">
        <v>5.9733117754156799</v>
      </c>
      <c r="P275" s="882">
        <v>5.8006641936008396</v>
      </c>
      <c r="Q275" s="2194">
        <v>6.2194582330098402</v>
      </c>
      <c r="R275" s="855">
        <v>6.7141046562803099</v>
      </c>
      <c r="S275" s="558">
        <v>7.3702346056810297</v>
      </c>
      <c r="T275" s="1214">
        <v>7.2317579862984402</v>
      </c>
    </row>
    <row r="276" spans="1:20">
      <c r="A276" t="s">
        <v>848</v>
      </c>
      <c r="B276" s="6" t="str">
        <f>HYPERLINK("http://www.ncbi.nlm.nih.gov/gene/16842", "16842")</f>
        <v>16842</v>
      </c>
      <c r="C276" s="6" t="str">
        <f>HYPERLINK("http://www.ncbi.nlm.nih.gov/gene/51176", "51176")</f>
        <v>51176</v>
      </c>
      <c r="D276" t="str">
        <f>"Lef1"</f>
        <v>Lef1</v>
      </c>
      <c r="E276" t="s">
        <v>849</v>
      </c>
      <c r="F276" t="s">
        <v>854</v>
      </c>
      <c r="G276" t="s">
        <v>861</v>
      </c>
      <c r="H276" s="516">
        <v>2</v>
      </c>
      <c r="I276" s="350">
        <v>3.8660649103314801</v>
      </c>
      <c r="J276" s="199">
        <v>4.3674438893126197</v>
      </c>
      <c r="K276" s="106">
        <v>3.8568527873783398</v>
      </c>
      <c r="L276" s="1954">
        <v>4.2838450166348103</v>
      </c>
      <c r="M276" s="641">
        <v>4.5029972422828601</v>
      </c>
      <c r="N276" s="555">
        <v>4.2426680273648598</v>
      </c>
      <c r="O276" s="1247">
        <v>7.0669230687338196</v>
      </c>
      <c r="P276" s="1248">
        <v>7.3222963185057202</v>
      </c>
      <c r="Q276" s="2025">
        <v>6.8908152095570303</v>
      </c>
      <c r="R276" s="631">
        <v>8.4065975848379395</v>
      </c>
      <c r="S276" s="553">
        <v>8.1480482672276509</v>
      </c>
      <c r="T276" s="1023">
        <v>7.9771890859884396</v>
      </c>
    </row>
    <row r="277" spans="1:20">
      <c r="A277" t="s">
        <v>862</v>
      </c>
      <c r="B277" s="6" t="str">
        <f>HYPERLINK("http://www.ncbi.nlm.nih.gov/gene/15245", "15245")</f>
        <v>15245</v>
      </c>
      <c r="C277" s="6" t="str">
        <f>HYPERLINK("http://www.ncbi.nlm.nih.gov/gene/64399", "64399")</f>
        <v>64399</v>
      </c>
      <c r="D277" t="str">
        <f>"Hhip"</f>
        <v>Hhip</v>
      </c>
      <c r="E277" t="s">
        <v>863</v>
      </c>
      <c r="F277" t="s">
        <v>855</v>
      </c>
      <c r="G277" t="s">
        <v>135</v>
      </c>
      <c r="H277" s="516">
        <v>2</v>
      </c>
      <c r="I277" s="199">
        <v>2.9045727055811499</v>
      </c>
      <c r="J277" s="221">
        <v>2.7727419158942901</v>
      </c>
      <c r="K277" s="175">
        <v>2.44197473578599</v>
      </c>
      <c r="L277" s="2195">
        <v>2.9282760695407899</v>
      </c>
      <c r="M277" s="1191">
        <v>2.85258028464599</v>
      </c>
      <c r="N277" s="864">
        <v>2.9605958919327402</v>
      </c>
      <c r="O277" s="1249">
        <v>4.5576859268549796</v>
      </c>
      <c r="P277" s="1250">
        <v>4.7585972308938</v>
      </c>
      <c r="Q277" s="1982">
        <v>4.6886014169903802</v>
      </c>
      <c r="R277" s="590">
        <v>5.8445784466652002</v>
      </c>
      <c r="S277" s="666">
        <v>6.0380460134779002</v>
      </c>
      <c r="T277" s="1015">
        <v>5.3849889694078099</v>
      </c>
    </row>
    <row r="278" spans="1:20">
      <c r="A278" t="s">
        <v>856</v>
      </c>
      <c r="B278" s="6" t="str">
        <f>HYPERLINK("http://www.ncbi.nlm.nih.gov/gene/18755", "18755")</f>
        <v>18755</v>
      </c>
      <c r="C278" s="6" t="str">
        <f>HYPERLINK("http://www.ncbi.nlm.nih.gov/gene/5583", "5583")</f>
        <v>5583</v>
      </c>
      <c r="D278" t="str">
        <f>"Prkch"</f>
        <v>Prkch</v>
      </c>
      <c r="E278" t="s">
        <v>857</v>
      </c>
      <c r="F278" t="s">
        <v>867</v>
      </c>
      <c r="G278" t="s">
        <v>868</v>
      </c>
      <c r="H278" s="516">
        <v>2</v>
      </c>
      <c r="I278" s="226">
        <v>3.6277682900950401</v>
      </c>
      <c r="J278" s="239">
        <v>3.8040925951533602</v>
      </c>
      <c r="K278" s="342">
        <v>3.3986296860388401</v>
      </c>
      <c r="L278" s="2063">
        <v>4.0388907821586404</v>
      </c>
      <c r="M278" s="1065">
        <v>4.2999421613553697</v>
      </c>
      <c r="N278" s="655">
        <v>4.2275830398255598</v>
      </c>
      <c r="O278" s="1208">
        <v>4.49969189620432</v>
      </c>
      <c r="P278" s="658">
        <v>4.4418516445396099</v>
      </c>
      <c r="Q278" s="2196">
        <v>4.7108731956099703</v>
      </c>
      <c r="R278" s="787">
        <v>5.9268995137796896</v>
      </c>
      <c r="S278" s="698">
        <v>5.6959488707176602</v>
      </c>
      <c r="T278" s="1125">
        <v>5.6333001450022504</v>
      </c>
    </row>
    <row r="279" spans="1:20">
      <c r="A279" t="s">
        <v>869</v>
      </c>
      <c r="B279" s="6" t="str">
        <f>HYPERLINK("http://www.ncbi.nlm.nih.gov/gene/207742", "207742")</f>
        <v>207742</v>
      </c>
      <c r="C279" s="6" t="str">
        <f>HYPERLINK("http://www.ncbi.nlm.nih.gov/gene/54894", "54894")</f>
        <v>54894</v>
      </c>
      <c r="D279" t="str">
        <f>"Rnf43"</f>
        <v>Rnf43</v>
      </c>
      <c r="E279" t="s">
        <v>870</v>
      </c>
      <c r="F279" t="s">
        <v>858</v>
      </c>
      <c r="H279" s="516">
        <v>2</v>
      </c>
      <c r="I279" s="206">
        <v>4.4188352407239604</v>
      </c>
      <c r="J279" s="84">
        <v>4.3723131594326503</v>
      </c>
      <c r="K279" s="350">
        <v>4.3299140719900597</v>
      </c>
      <c r="L279" s="1947">
        <v>4.4452345819316097</v>
      </c>
      <c r="M279" s="670">
        <v>5.2396024333937996</v>
      </c>
      <c r="N279" s="699">
        <v>5.1806261428200298</v>
      </c>
      <c r="O279" s="1129">
        <v>5.6725387321246101</v>
      </c>
      <c r="P279" s="916">
        <v>5.796077704729</v>
      </c>
      <c r="Q279" s="2197">
        <v>5.6971723938525898</v>
      </c>
      <c r="R279" s="777">
        <v>7.3216466763639199</v>
      </c>
      <c r="S279" s="698">
        <v>7.12727439188604</v>
      </c>
      <c r="T279" s="1123">
        <v>7.0842409572080998</v>
      </c>
    </row>
    <row r="280" spans="1:20">
      <c r="A280" t="s">
        <v>859</v>
      </c>
      <c r="B280" s="6" t="str">
        <f>HYPERLINK("http://www.ncbi.nlm.nih.gov/gene/24117", "24117")</f>
        <v>24117</v>
      </c>
      <c r="C280" s="6" t="str">
        <f>HYPERLINK("http://www.ncbi.nlm.nih.gov/gene/11197", "11197")</f>
        <v>11197</v>
      </c>
      <c r="D280" t="str">
        <f>"Wif1"</f>
        <v>Wif1</v>
      </c>
      <c r="E280" t="s">
        <v>860</v>
      </c>
      <c r="F280" t="s">
        <v>864</v>
      </c>
      <c r="G280" t="s">
        <v>611</v>
      </c>
      <c r="H280" s="516">
        <v>2</v>
      </c>
      <c r="I280" s="389">
        <v>5.6724941125654</v>
      </c>
      <c r="J280" s="175">
        <v>5.64899170952443</v>
      </c>
      <c r="K280" s="257">
        <v>5.6205127884657502</v>
      </c>
      <c r="L280" s="2059">
        <v>6.7108553968698299</v>
      </c>
      <c r="M280" s="609">
        <v>6.7237424977906697</v>
      </c>
      <c r="N280" s="832">
        <v>6.6945079430435799</v>
      </c>
      <c r="O280" s="1240">
        <v>7.64595376888456</v>
      </c>
      <c r="P280" s="732">
        <v>7.7417587857829897</v>
      </c>
      <c r="Q280" s="2198">
        <v>7.4993683388454198</v>
      </c>
      <c r="R280" s="644">
        <v>9.4492533548687394</v>
      </c>
      <c r="S280" s="745">
        <v>9.4610642167791301</v>
      </c>
      <c r="T280" s="1084">
        <v>9.4054686536140792</v>
      </c>
    </row>
    <row r="281" spans="1:20">
      <c r="A281" t="s">
        <v>865</v>
      </c>
      <c r="B281" s="6" t="str">
        <f>HYPERLINK("http://www.ncbi.nlm.nih.gov/gene/17702", "17702")</f>
        <v>17702</v>
      </c>
      <c r="C281" s="6" t="str">
        <f>HYPERLINK("http://www.ncbi.nlm.nih.gov/gene/4488", "4488")</f>
        <v>4488</v>
      </c>
      <c r="D281" t="str">
        <f>"Msx2"</f>
        <v>Msx2</v>
      </c>
      <c r="E281" t="s">
        <v>866</v>
      </c>
      <c r="F281" t="s">
        <v>871</v>
      </c>
      <c r="H281" s="516">
        <v>2</v>
      </c>
      <c r="I281" s="306">
        <v>5.2083653566597503</v>
      </c>
      <c r="J281" s="299">
        <v>5.5657516907822897</v>
      </c>
      <c r="K281" s="284">
        <v>5.2608662465136602</v>
      </c>
      <c r="L281" s="2199">
        <v>5.9651529344378202</v>
      </c>
      <c r="M281" s="609">
        <v>6.2716464842923996</v>
      </c>
      <c r="N281" s="1343">
        <v>6.0851339123986001</v>
      </c>
      <c r="O281" s="1249">
        <v>7.3593213929969101</v>
      </c>
      <c r="P281" s="966">
        <v>7.2803605982036297</v>
      </c>
      <c r="Q281" s="2200">
        <v>7.2133864278809803</v>
      </c>
      <c r="R281" s="571">
        <v>8.6226092039035507</v>
      </c>
      <c r="S281" s="1252">
        <v>8.5575734955714307</v>
      </c>
      <c r="T281" s="1123">
        <v>8.5981712359151299</v>
      </c>
    </row>
    <row r="282" spans="1:20">
      <c r="A282" t="s">
        <v>872</v>
      </c>
      <c r="B282" s="6" t="str">
        <f>HYPERLINK("http://www.ncbi.nlm.nih.gov/gene/12393", "12393")</f>
        <v>12393</v>
      </c>
      <c r="C282" s="6" t="str">
        <f>HYPERLINK("http://www.ncbi.nlm.nih.gov/gene/860", "860")</f>
        <v>860</v>
      </c>
      <c r="D282" t="str">
        <f>"Runx2"</f>
        <v>Runx2</v>
      </c>
      <c r="E282" t="s">
        <v>873</v>
      </c>
      <c r="F282" t="s">
        <v>874</v>
      </c>
      <c r="H282" s="516">
        <v>2</v>
      </c>
      <c r="I282" s="250">
        <v>4.7734621908563604</v>
      </c>
      <c r="J282" s="95">
        <v>4.8578761426808903</v>
      </c>
      <c r="K282" s="312">
        <v>4.7641186586810003</v>
      </c>
      <c r="L282" s="2201">
        <v>4.9889866787153201</v>
      </c>
      <c r="M282" s="669">
        <v>5.1893060514085896</v>
      </c>
      <c r="N282" s="688">
        <v>4.9766573024211702</v>
      </c>
      <c r="O282" s="1130">
        <v>5.5445259853047997</v>
      </c>
      <c r="P282" s="939">
        <v>5.7333235661024604</v>
      </c>
      <c r="Q282" s="2167">
        <v>5.4505386303195396</v>
      </c>
      <c r="R282" s="1030">
        <v>6.8794545726673704</v>
      </c>
      <c r="S282" s="1041">
        <v>6.61290107495629</v>
      </c>
      <c r="T282" s="1253">
        <v>6.5168191270154798</v>
      </c>
    </row>
    <row r="283" spans="1:20">
      <c r="A283" t="s">
        <v>875</v>
      </c>
      <c r="B283" s="6" t="str">
        <f>HYPERLINK("http://www.ncbi.nlm.nih.gov/gene/16772", "16772")</f>
        <v>16772</v>
      </c>
      <c r="C283" s="6" t="str">
        <f>HYPERLINK("http://www.ncbi.nlm.nih.gov/gene/284217", "284217")</f>
        <v>284217</v>
      </c>
      <c r="D283" t="str">
        <f>"Lama1"</f>
        <v>Lama1</v>
      </c>
      <c r="E283" t="s">
        <v>876</v>
      </c>
      <c r="F283" t="s">
        <v>877</v>
      </c>
      <c r="G283" t="s">
        <v>621</v>
      </c>
      <c r="H283" s="516">
        <v>2</v>
      </c>
      <c r="I283" s="467">
        <v>4.0593607274296</v>
      </c>
      <c r="J283" s="130">
        <v>4.2458600229461698</v>
      </c>
      <c r="K283" s="135">
        <v>4.1138830982412102</v>
      </c>
      <c r="L283" s="2202">
        <v>4.7097218739949902</v>
      </c>
      <c r="M283" s="669">
        <v>4.9071587527787903</v>
      </c>
      <c r="N283" s="659">
        <v>4.78747747162818</v>
      </c>
      <c r="O283" s="1211">
        <v>5.4847192467936701</v>
      </c>
      <c r="P283" s="1254">
        <v>5.5280401887083697</v>
      </c>
      <c r="Q283" s="2168">
        <v>5.2893395658111499</v>
      </c>
      <c r="R283" s="632">
        <v>8.2484325990178107</v>
      </c>
      <c r="S283" s="675">
        <v>7.7384085591612699</v>
      </c>
      <c r="T283" s="1203">
        <v>7.6703236152913998</v>
      </c>
    </row>
    <row r="284" spans="1:20">
      <c r="A284" t="s">
        <v>878</v>
      </c>
      <c r="B284" s="6" t="str">
        <f>HYPERLINK("http://www.ncbi.nlm.nih.gov/gene/11668", "11668")</f>
        <v>11668</v>
      </c>
      <c r="C284" s="6" t="str">
        <f>HYPERLINK("http://www.ncbi.nlm.nih.gov/gene/216", "216")</f>
        <v>216</v>
      </c>
      <c r="D284" t="str">
        <f>"Aldh1a1"</f>
        <v>Aldh1a1</v>
      </c>
      <c r="E284" t="s">
        <v>879</v>
      </c>
      <c r="F284" t="s">
        <v>880</v>
      </c>
      <c r="G284" t="s">
        <v>881</v>
      </c>
      <c r="H284" s="516">
        <v>2</v>
      </c>
      <c r="I284" s="257">
        <v>3.3972894414922101</v>
      </c>
      <c r="J284" s="27">
        <v>4.1808157978473197</v>
      </c>
      <c r="K284" s="142">
        <v>3.8845671640093098</v>
      </c>
      <c r="L284" s="1944">
        <v>4.2971287753947198</v>
      </c>
      <c r="M284" s="549">
        <v>4.7309750931719101</v>
      </c>
      <c r="N284" s="609">
        <v>4.8033982581304402</v>
      </c>
      <c r="O284" s="736">
        <v>5.3659314859654099</v>
      </c>
      <c r="P284" s="913">
        <v>5.7279836310719299</v>
      </c>
      <c r="Q284" s="2203">
        <v>5.5537975764525802</v>
      </c>
      <c r="R284" s="707">
        <v>8.3461737995819902</v>
      </c>
      <c r="S284" s="679">
        <v>8.4539838340532807</v>
      </c>
      <c r="T284" s="1066">
        <v>8.5440696982352193</v>
      </c>
    </row>
    <row r="285" spans="1:20">
      <c r="A285" t="s">
        <v>882</v>
      </c>
      <c r="B285" s="6" t="str">
        <f>HYPERLINK("http://www.ncbi.nlm.nih.gov/gene/170765", "170765")</f>
        <v>170765</v>
      </c>
      <c r="C285" s="6" t="str">
        <f>HYPERLINK("http://www.ncbi.nlm.nih.gov/gene/53820", "53820")</f>
        <v>53820</v>
      </c>
      <c r="D285" t="str">
        <f>"Ripply3"</f>
        <v>Ripply3</v>
      </c>
      <c r="E285" t="s">
        <v>883</v>
      </c>
      <c r="F285" t="s">
        <v>884</v>
      </c>
      <c r="H285" s="516">
        <v>2</v>
      </c>
      <c r="I285" s="342">
        <v>3.9425417149564499</v>
      </c>
      <c r="J285" s="59">
        <v>4.5636519801625202</v>
      </c>
      <c r="K285" s="60">
        <v>4.5036890350167198</v>
      </c>
      <c r="L285" s="1952">
        <v>4.5336213106151</v>
      </c>
      <c r="M285" s="595">
        <v>4.8084282000454399</v>
      </c>
      <c r="N285" s="662">
        <v>4.64428279420307</v>
      </c>
      <c r="O285" s="1255">
        <v>5.0501765724537897</v>
      </c>
      <c r="P285" s="1243">
        <v>5.3673710634543799</v>
      </c>
      <c r="Q285" s="2203">
        <v>5.1683030192028303</v>
      </c>
      <c r="R285" s="707">
        <v>6.54677522728519</v>
      </c>
      <c r="S285" s="1164">
        <v>6.4750791213138799</v>
      </c>
      <c r="T285" s="1045">
        <v>6.7166863300470698</v>
      </c>
    </row>
    <row r="286" spans="1:20">
      <c r="A286" t="s">
        <v>885</v>
      </c>
      <c r="B286" s="6" t="str">
        <f>HYPERLINK("http://www.ncbi.nlm.nih.gov/gene/245386", "245386")</f>
        <v>245386</v>
      </c>
      <c r="C286" s="6" t="str">
        <f>HYPERLINK("http://www.ncbi.nlm.nih.gov/gene/55026", "55026")</f>
        <v>55026</v>
      </c>
      <c r="D286" t="str">
        <f>"Fam70a"</f>
        <v>Fam70a</v>
      </c>
      <c r="E286" t="s">
        <v>886</v>
      </c>
      <c r="F286" t="s">
        <v>37</v>
      </c>
      <c r="H286" s="516">
        <v>2</v>
      </c>
      <c r="I286" s="215">
        <v>3.8726042210300302</v>
      </c>
      <c r="J286" s="43">
        <v>4.2110378779872804</v>
      </c>
      <c r="K286" s="91">
        <v>4.3110445187055699</v>
      </c>
      <c r="L286" s="2199">
        <v>4.2694305249490903</v>
      </c>
      <c r="M286" s="688">
        <v>4.2221104055646199</v>
      </c>
      <c r="N286" s="573">
        <v>4.2440478175780401</v>
      </c>
      <c r="O286" s="1219">
        <v>4.50846495894148</v>
      </c>
      <c r="P286" s="833">
        <v>5.0414354581698904</v>
      </c>
      <c r="Q286" s="2110">
        <v>5.3221678059703601</v>
      </c>
      <c r="R286" s="1157">
        <v>6.4170532235294697</v>
      </c>
      <c r="S286" s="1030">
        <v>7.0054187295217396</v>
      </c>
      <c r="T286" s="1055">
        <v>6.7768506889407796</v>
      </c>
    </row>
    <row r="287" spans="1:20">
      <c r="A287" t="s">
        <v>887</v>
      </c>
      <c r="B287" s="6" t="str">
        <f>HYPERLINK("http://www.ncbi.nlm.nih.gov/gene/70713", "70713")</f>
        <v>70713</v>
      </c>
      <c r="C287" s="6" t="str">
        <f>HYPERLINK("http://www.ncbi.nlm.nih.gov/gene/283554", "283554")</f>
        <v>283554</v>
      </c>
      <c r="D287" t="str">
        <f>"Gpr137c"</f>
        <v>Gpr137c</v>
      </c>
      <c r="E287" t="s">
        <v>908</v>
      </c>
      <c r="F287" t="s">
        <v>90</v>
      </c>
      <c r="H287" s="516">
        <v>2</v>
      </c>
      <c r="I287" s="236">
        <v>3.8042010144412601</v>
      </c>
      <c r="J287" s="122">
        <v>3.7846547240814901</v>
      </c>
      <c r="K287" s="27">
        <v>4.0356152406694896</v>
      </c>
      <c r="L287" s="2202">
        <v>4.2074748732035498</v>
      </c>
      <c r="M287" s="532">
        <v>4.2631074318205204</v>
      </c>
      <c r="N287" s="549">
        <v>4.2967897223707201</v>
      </c>
      <c r="O287" s="1256">
        <v>4.4225482144236201</v>
      </c>
      <c r="P287" s="793">
        <v>4.5725448887150204</v>
      </c>
      <c r="Q287" s="2110">
        <v>4.9631611551929202</v>
      </c>
      <c r="R287" s="693">
        <v>6.0228319024249499</v>
      </c>
      <c r="S287" s="679">
        <v>6.0814068014344196</v>
      </c>
      <c r="T287" s="1059">
        <v>6.1427262843241</v>
      </c>
    </row>
    <row r="288" spans="1:20">
      <c r="A288" t="s">
        <v>909</v>
      </c>
      <c r="B288" s="6" t="str">
        <f>HYPERLINK("http://www.ncbi.nlm.nih.gov/gene/72413", "72413")</f>
        <v>72413</v>
      </c>
      <c r="C288" s="6" t="str">
        <f>HYPERLINK("http://www.ncbi.nlm.nih.gov/gene/10242", "10242")</f>
        <v>10242</v>
      </c>
      <c r="D288" t="str">
        <f>"Kcnmb2"</f>
        <v>Kcnmb2</v>
      </c>
      <c r="E288" t="s">
        <v>910</v>
      </c>
      <c r="F288" t="s">
        <v>911</v>
      </c>
      <c r="G288" t="s">
        <v>159</v>
      </c>
      <c r="H288" s="516">
        <v>2</v>
      </c>
      <c r="I288" s="136">
        <v>2.8442599343400699</v>
      </c>
      <c r="J288" s="80">
        <v>2.8040994669199399</v>
      </c>
      <c r="K288" s="221">
        <v>2.7817727999234201</v>
      </c>
      <c r="L288" s="2204">
        <v>3.24619353932543</v>
      </c>
      <c r="M288" s="1153">
        <v>2.7126894558597701</v>
      </c>
      <c r="N288" s="672">
        <v>3.57180982480453</v>
      </c>
      <c r="O288" s="1257">
        <v>3.3853567031170502</v>
      </c>
      <c r="P288" s="687">
        <v>3.3554393756054601</v>
      </c>
      <c r="Q288" s="2205">
        <v>3.7755426364448499</v>
      </c>
      <c r="R288" s="1252">
        <v>4.8876824912921597</v>
      </c>
      <c r="S288" s="582">
        <v>5.1534125342072601</v>
      </c>
      <c r="T288" s="1045">
        <v>5.19138122824888</v>
      </c>
    </row>
    <row r="289" spans="1:20">
      <c r="A289" t="s">
        <v>888</v>
      </c>
      <c r="B289" s="6" t="str">
        <f>HYPERLINK("http://www.ncbi.nlm.nih.gov/gene/57874", "57874")</f>
        <v>57874</v>
      </c>
      <c r="C289" s="6" t="str">
        <f>HYPERLINK("http://www.ncbi.nlm.nih.gov/gene/51495", "51495")</f>
        <v>51495</v>
      </c>
      <c r="D289" t="str">
        <f>"Ptplad1"</f>
        <v>Ptplad1</v>
      </c>
      <c r="E289" t="s">
        <v>889</v>
      </c>
      <c r="F289" t="s">
        <v>890</v>
      </c>
      <c r="H289" s="516">
        <v>2</v>
      </c>
      <c r="I289" s="492">
        <v>6.6729185993306102</v>
      </c>
      <c r="J289" s="257">
        <v>6.7472006121566999</v>
      </c>
      <c r="K289" s="129">
        <v>7.2106845315821397</v>
      </c>
      <c r="L289" s="2061">
        <v>7.2538937986562297</v>
      </c>
      <c r="M289" s="641">
        <v>7.0976125426352503</v>
      </c>
      <c r="N289" s="680">
        <v>7.4088407587493004</v>
      </c>
      <c r="O289" s="1258">
        <v>7.8543285810074401</v>
      </c>
      <c r="P289" s="1213">
        <v>7.8163745734389298</v>
      </c>
      <c r="Q289" s="2164">
        <v>7.8183877543984499</v>
      </c>
      <c r="R289" s="614">
        <v>8.6399931261805705</v>
      </c>
      <c r="S289" s="582">
        <v>9.0114644093902498</v>
      </c>
      <c r="T289" s="1259">
        <v>8.9476306627612008</v>
      </c>
    </row>
    <row r="290" spans="1:20">
      <c r="A290" t="s">
        <v>891</v>
      </c>
      <c r="B290" s="6" t="str">
        <f>HYPERLINK("http://www.ncbi.nlm.nih.gov/gene/237175", "237175")</f>
        <v>237175</v>
      </c>
      <c r="C290" s="6" t="str">
        <f>HYPERLINK("http://www.ncbi.nlm.nih.gov/gene/10149", "10149")</f>
        <v>10149</v>
      </c>
      <c r="D290" t="str">
        <f>"Gpr64"</f>
        <v>Gpr64</v>
      </c>
      <c r="E290" t="s">
        <v>892</v>
      </c>
      <c r="F290" t="s">
        <v>893</v>
      </c>
      <c r="H290" s="516">
        <v>2</v>
      </c>
      <c r="I290" s="175">
        <v>3.2756652352411102</v>
      </c>
      <c r="J290" s="312">
        <v>3.6136290137153</v>
      </c>
      <c r="K290" s="123">
        <v>4.0151752903161704</v>
      </c>
      <c r="L290" s="2206">
        <v>4.3309235292633899</v>
      </c>
      <c r="M290" s="876">
        <v>3.9385405068891401</v>
      </c>
      <c r="N290" s="560">
        <v>4.73244186630144</v>
      </c>
      <c r="O290" s="1131">
        <v>5.5235570155812104</v>
      </c>
      <c r="P290" s="796">
        <v>6.0511789642370104</v>
      </c>
      <c r="Q290" s="2172">
        <v>5.5668048301184898</v>
      </c>
      <c r="R290" s="697">
        <v>8.3176740048380893</v>
      </c>
      <c r="S290" s="666">
        <v>8.3650169793226894</v>
      </c>
      <c r="T290" s="1210">
        <v>8.21278294096075</v>
      </c>
    </row>
    <row r="291" spans="1:20">
      <c r="A291" t="s">
        <v>894</v>
      </c>
      <c r="B291" s="6" t="str">
        <f>HYPERLINK("http://www.ncbi.nlm.nih.gov/gene/16518", "16518")</f>
        <v>16518</v>
      </c>
      <c r="C291" s="6" t="str">
        <f>HYPERLINK("http://www.ncbi.nlm.nih.gov/gene/3759", "3759")</f>
        <v>3759</v>
      </c>
      <c r="D291" t="str">
        <f>"Kcnj2"</f>
        <v>Kcnj2</v>
      </c>
      <c r="E291" t="s">
        <v>895</v>
      </c>
      <c r="F291" t="s">
        <v>896</v>
      </c>
      <c r="G291" t="s">
        <v>272</v>
      </c>
      <c r="H291" s="516">
        <v>2</v>
      </c>
      <c r="I291" s="84">
        <v>4.7373909875557603</v>
      </c>
      <c r="J291" s="284">
        <v>4.5547468091632402</v>
      </c>
      <c r="K291" s="88">
        <v>5.1201264087907301</v>
      </c>
      <c r="L291" s="2207">
        <v>5.0474311852443599</v>
      </c>
      <c r="M291" s="662">
        <v>5.3042605023410099</v>
      </c>
      <c r="N291" s="543">
        <v>5.5420656541326903</v>
      </c>
      <c r="O291" s="1124">
        <v>6.0848880964184602</v>
      </c>
      <c r="P291" s="750">
        <v>6.18034188830846</v>
      </c>
      <c r="Q291" s="2197">
        <v>6.15853602566209</v>
      </c>
      <c r="R291" s="693">
        <v>7.76816905876262</v>
      </c>
      <c r="S291" s="718">
        <v>7.7475932047777496</v>
      </c>
      <c r="T291" s="1103">
        <v>7.8343712848748304</v>
      </c>
    </row>
    <row r="292" spans="1:20">
      <c r="A292" t="s">
        <v>897</v>
      </c>
      <c r="B292" s="6" t="str">
        <f>HYPERLINK("http://www.ncbi.nlm.nih.gov/gene/213469", "213469")</f>
        <v>213469</v>
      </c>
      <c r="C292" s="6" t="str">
        <f>HYPERLINK("http://www.ncbi.nlm.nih.gov/gene/203190", "203190")</f>
        <v>203190</v>
      </c>
      <c r="D292" t="str">
        <f>"Lgi3"</f>
        <v>Lgi3</v>
      </c>
      <c r="E292" t="s">
        <v>898</v>
      </c>
      <c r="F292" t="s">
        <v>899</v>
      </c>
      <c r="H292" s="516">
        <v>2</v>
      </c>
      <c r="I292" s="304">
        <v>4.2259031874626096</v>
      </c>
      <c r="J292" s="65">
        <v>3.9714409294237698</v>
      </c>
      <c r="K292" s="290">
        <v>4.1256698815139901</v>
      </c>
      <c r="L292" s="2140">
        <v>4.3960056544617903</v>
      </c>
      <c r="M292" s="891">
        <v>4.43727506230677</v>
      </c>
      <c r="N292" s="566">
        <v>4.2949860621943499</v>
      </c>
      <c r="O292" s="1124">
        <v>5.0751093947328298</v>
      </c>
      <c r="P292" s="1122">
        <v>5.0600661992543401</v>
      </c>
      <c r="Q292" s="2189">
        <v>5.3924014116380903</v>
      </c>
      <c r="R292" s="769">
        <v>6.1628662548540403</v>
      </c>
      <c r="S292" s="547">
        <v>6.6725457608685899</v>
      </c>
      <c r="T292" s="1260">
        <v>6.3597203800915301</v>
      </c>
    </row>
    <row r="293" spans="1:20">
      <c r="A293" t="s">
        <v>900</v>
      </c>
      <c r="B293" s="6" t="str">
        <f>HYPERLINK("http://www.ncbi.nlm.nih.gov/gene/18231", "18231")</f>
        <v>18231</v>
      </c>
      <c r="C293" s="6" t="str">
        <f>HYPERLINK("http://www.ncbi.nlm.nih.gov/gene/30010", "30010")</f>
        <v>30010</v>
      </c>
      <c r="D293" t="str">
        <f>"Nxph1"</f>
        <v>Nxph1</v>
      </c>
      <c r="E293" t="s">
        <v>901</v>
      </c>
      <c r="F293" t="s">
        <v>902</v>
      </c>
      <c r="H293" s="516">
        <v>2</v>
      </c>
      <c r="I293" s="311">
        <v>3.0243080880825901</v>
      </c>
      <c r="J293" s="466">
        <v>2.69747305284042</v>
      </c>
      <c r="K293" s="123">
        <v>3.0313599003035199</v>
      </c>
      <c r="L293" s="1850">
        <v>3.1989708494287799</v>
      </c>
      <c r="M293" s="610">
        <v>3.2488975537456901</v>
      </c>
      <c r="N293" s="1308">
        <v>2.8267305613099198</v>
      </c>
      <c r="O293" s="944">
        <v>4.1717298270750502</v>
      </c>
      <c r="P293" s="705">
        <v>3.5581056930426098</v>
      </c>
      <c r="Q293" s="2208">
        <v>3.8876812440719699</v>
      </c>
      <c r="R293" s="707">
        <v>5.02596433379997</v>
      </c>
      <c r="S293" s="675">
        <v>5.0053039874612599</v>
      </c>
      <c r="T293" s="1261">
        <v>4.9705045633428302</v>
      </c>
    </row>
    <row r="294" spans="1:20">
      <c r="A294" t="s">
        <v>903</v>
      </c>
      <c r="B294" s="6" t="str">
        <f>HYPERLINK("http://www.ncbi.nlm.nih.gov/gene/269109", "269109")</f>
        <v>269109</v>
      </c>
      <c r="C294" s="6" t="str">
        <f>HYPERLINK("http://www.ncbi.nlm.nih.gov/gene/57628", "57628")</f>
        <v>57628</v>
      </c>
      <c r="D294" t="str">
        <f>"Dpp10"</f>
        <v>Dpp10</v>
      </c>
      <c r="E294" t="s">
        <v>904</v>
      </c>
      <c r="F294" t="s">
        <v>905</v>
      </c>
      <c r="H294" s="516">
        <v>2</v>
      </c>
      <c r="I294" s="98">
        <v>2.91753025938567</v>
      </c>
      <c r="J294" s="250">
        <v>2.4097215020988401</v>
      </c>
      <c r="K294" s="36">
        <v>3.1167588796653298</v>
      </c>
      <c r="L294" s="1850">
        <v>2.9179492528567801</v>
      </c>
      <c r="M294" s="1327">
        <v>2.1358275324288298</v>
      </c>
      <c r="N294" s="1087">
        <v>2.53620688971266</v>
      </c>
      <c r="O294" s="1121">
        <v>3.9688533937523101</v>
      </c>
      <c r="P294" s="830">
        <v>3.6301819763243399</v>
      </c>
      <c r="Q294" s="2172">
        <v>3.7335127022488499</v>
      </c>
      <c r="R294" s="598">
        <v>5.7076972918373796</v>
      </c>
      <c r="S294" s="571">
        <v>5.4769952143299001</v>
      </c>
      <c r="T294" s="1262">
        <v>5.69598135616015</v>
      </c>
    </row>
    <row r="295" spans="1:20">
      <c r="A295" t="s">
        <v>906</v>
      </c>
      <c r="B295" s="6" t="str">
        <f>HYPERLINK("http://www.ncbi.nlm.nih.gov/gene/14180", "14180")</f>
        <v>14180</v>
      </c>
      <c r="C295" s="6" t="str">
        <f>HYPERLINK("http://www.ncbi.nlm.nih.gov/gene/2254", "2254")</f>
        <v>2254</v>
      </c>
      <c r="D295" t="str">
        <f>"Fgf9"</f>
        <v>Fgf9</v>
      </c>
      <c r="E295" t="s">
        <v>907</v>
      </c>
      <c r="F295" t="s">
        <v>912</v>
      </c>
      <c r="G295" t="s">
        <v>521</v>
      </c>
      <c r="H295" s="516">
        <v>2</v>
      </c>
      <c r="I295" s="75">
        <v>2.8630991669784498</v>
      </c>
      <c r="J295" s="290">
        <v>2.7396022103931799</v>
      </c>
      <c r="K295" s="199">
        <v>2.8782092578049099</v>
      </c>
      <c r="L295" s="2061">
        <v>3.2126278696458299</v>
      </c>
      <c r="M295" s="1332">
        <v>2.7595941347096802</v>
      </c>
      <c r="N295" s="1007">
        <v>2.94533041602446</v>
      </c>
      <c r="O295" s="1263">
        <v>4.39264130779548</v>
      </c>
      <c r="P295" s="751">
        <v>4.0131292754071897</v>
      </c>
      <c r="Q295" s="2209">
        <v>3.8957357172017102</v>
      </c>
      <c r="R295" s="718">
        <v>5.7899473660660101</v>
      </c>
      <c r="S295" s="675">
        <v>5.7967152199517296</v>
      </c>
      <c r="T295" s="1063">
        <v>5.9627316531675003</v>
      </c>
    </row>
    <row r="296" spans="1:20">
      <c r="A296" t="s">
        <v>919</v>
      </c>
      <c r="B296" s="6" t="str">
        <f>HYPERLINK("http://www.ncbi.nlm.nih.gov/gene/80883", "80883")</f>
        <v>80883</v>
      </c>
      <c r="C296" s="6" t="str">
        <f>HYPERLINK("http://www.ncbi.nlm.nih.gov/gene/22854", "22854")</f>
        <v>22854</v>
      </c>
      <c r="D296" t="str">
        <f>"Ntng1"</f>
        <v>Ntng1</v>
      </c>
      <c r="E296" t="s">
        <v>920</v>
      </c>
      <c r="F296" t="s">
        <v>921</v>
      </c>
      <c r="G296" t="s">
        <v>604</v>
      </c>
      <c r="H296" s="516">
        <v>2</v>
      </c>
      <c r="I296" s="58">
        <v>2.2051844907442901</v>
      </c>
      <c r="J296" s="311">
        <v>2.0647754714072901</v>
      </c>
      <c r="K296" s="59">
        <v>2.1939855891412798</v>
      </c>
      <c r="L296" s="1942">
        <v>1.9687508106429801</v>
      </c>
      <c r="M296" s="1585">
        <v>1.6619137399280699</v>
      </c>
      <c r="N296" s="992">
        <v>2.0065918020000999</v>
      </c>
      <c r="O296" s="1264">
        <v>3.0428758295026799</v>
      </c>
      <c r="P296" s="750">
        <v>3.1181122801490502</v>
      </c>
      <c r="Q296" s="2210">
        <v>3.5055013075147099</v>
      </c>
      <c r="R296" s="602">
        <v>4.7940374149538503</v>
      </c>
      <c r="S296" s="558">
        <v>4.4695889219870599</v>
      </c>
      <c r="T296" s="1265">
        <v>4.4279160798091599</v>
      </c>
    </row>
    <row r="297" spans="1:20">
      <c r="A297" t="s">
        <v>922</v>
      </c>
      <c r="B297" s="6" t="str">
        <f>HYPERLINK("http://www.ncbi.nlm.nih.gov/gene/20346", "20346")</f>
        <v>20346</v>
      </c>
      <c r="C297" s="6" t="str">
        <f>HYPERLINK("http://www.ncbi.nlm.nih.gov/gene/10371", "10371")</f>
        <v>10371</v>
      </c>
      <c r="D297" t="str">
        <f>"Sema3a"</f>
        <v>Sema3a</v>
      </c>
      <c r="E297" t="s">
        <v>923</v>
      </c>
      <c r="F297" t="s">
        <v>913</v>
      </c>
      <c r="G297" t="s">
        <v>604</v>
      </c>
      <c r="H297" s="516">
        <v>2</v>
      </c>
      <c r="I297" s="25">
        <v>6.6494974078870204</v>
      </c>
      <c r="J297" s="58">
        <v>6.5124246174557596</v>
      </c>
      <c r="K297" s="25">
        <v>6.6550445313786204</v>
      </c>
      <c r="L297" s="2102">
        <v>6.04900619092715</v>
      </c>
      <c r="M297" s="1160">
        <v>5.6177698533500804</v>
      </c>
      <c r="N297" s="1029">
        <v>6.1799265006308799</v>
      </c>
      <c r="O297" s="1266">
        <v>7.7875425474534898</v>
      </c>
      <c r="P297" s="800">
        <v>7.7471334456576102</v>
      </c>
      <c r="Q297" s="2211">
        <v>7.8343329957850001</v>
      </c>
      <c r="R297" s="644">
        <v>9.3828872582406309</v>
      </c>
      <c r="S297" s="657">
        <v>9.3695822784506593</v>
      </c>
      <c r="T297" s="1268">
        <v>9.3363354199665007</v>
      </c>
    </row>
    <row r="298" spans="1:20">
      <c r="A298" t="s">
        <v>914</v>
      </c>
      <c r="B298" s="6" t="str">
        <f>HYPERLINK("http://www.ncbi.nlm.nih.gov/gene/54524", "54524")</f>
        <v>54524</v>
      </c>
      <c r="C298" s="6" t="str">
        <f>HYPERLINK("http://www.ncbi.nlm.nih.gov/gene/148281", "148281")</f>
        <v>148281</v>
      </c>
      <c r="D298" t="str">
        <f>"Syt6"</f>
        <v>Syt6</v>
      </c>
      <c r="E298" t="s">
        <v>915</v>
      </c>
      <c r="F298" t="s">
        <v>916</v>
      </c>
      <c r="H298" s="516">
        <v>2</v>
      </c>
      <c r="I298" s="141">
        <v>4.4299718516166404</v>
      </c>
      <c r="J298" s="273">
        <v>4.3640205870892803</v>
      </c>
      <c r="K298" s="154">
        <v>4.3603288540760499</v>
      </c>
      <c r="L298" s="2155">
        <v>3.8782617699301301</v>
      </c>
      <c r="M298" s="1281">
        <v>4.1703406508396004</v>
      </c>
      <c r="N298" s="1302">
        <v>4.1197367667267599</v>
      </c>
      <c r="O298" s="1269">
        <v>5.1900872538663299</v>
      </c>
      <c r="P298" s="875">
        <v>5.5006652415730102</v>
      </c>
      <c r="Q298" s="2012">
        <v>5.3008431023544897</v>
      </c>
      <c r="R298" s="745">
        <v>6.4565586107694504</v>
      </c>
      <c r="S298" s="698">
        <v>6.4205357254380404</v>
      </c>
      <c r="T298" s="1203">
        <v>6.4229260534405004</v>
      </c>
    </row>
    <row r="299" spans="1:20">
      <c r="A299" t="s">
        <v>917</v>
      </c>
      <c r="B299" s="6" t="str">
        <f>HYPERLINK("http://www.ncbi.nlm.nih.gov/gene/18124", "18124")</f>
        <v>18124</v>
      </c>
      <c r="C299" s="6" t="str">
        <f>HYPERLINK("http://www.ncbi.nlm.nih.gov/gene/8013", "8013")</f>
        <v>8013</v>
      </c>
      <c r="D299" t="str">
        <f>"Nr4a3"</f>
        <v>Nr4a3</v>
      </c>
      <c r="E299" t="s">
        <v>918</v>
      </c>
      <c r="F299" t="s">
        <v>924</v>
      </c>
      <c r="H299" s="516">
        <v>2</v>
      </c>
      <c r="I299" s="99">
        <v>2.6776480177174302</v>
      </c>
      <c r="J299" s="75">
        <v>2.2511621287261598</v>
      </c>
      <c r="K299" s="466">
        <v>1.9727307560241401</v>
      </c>
      <c r="L299" s="2193">
        <v>2.1899495645345399</v>
      </c>
      <c r="M299" s="1342">
        <v>2.0843181443309899</v>
      </c>
      <c r="N299" s="734">
        <v>2.4132466232763701</v>
      </c>
      <c r="O299" s="954">
        <v>3.2775965874353901</v>
      </c>
      <c r="P299" s="966">
        <v>3.2764806144745502</v>
      </c>
      <c r="Q299" s="2212">
        <v>2.9709901118714899</v>
      </c>
      <c r="R299" s="1132">
        <v>4.1107323558747</v>
      </c>
      <c r="S299" s="678">
        <v>4.3977242445052003</v>
      </c>
      <c r="T299" s="990">
        <v>4.1452091825353001</v>
      </c>
    </row>
    <row r="300" spans="1:20">
      <c r="A300" t="s">
        <v>925</v>
      </c>
      <c r="B300" s="6" t="str">
        <f>HYPERLINK("http://www.ncbi.nlm.nih.gov/gene/381338", "381338")</f>
        <v>381338</v>
      </c>
      <c r="C300" s="6" t="str">
        <f>HYPERLINK("http://www.ncbi.nlm.nih.gov/gene/164832", "164832")</f>
        <v>164832</v>
      </c>
      <c r="D300" t="str">
        <f>"Lonrf2"</f>
        <v>Lonrf2</v>
      </c>
      <c r="E300" t="s">
        <v>926</v>
      </c>
      <c r="F300" t="s">
        <v>350</v>
      </c>
      <c r="H300" s="516">
        <v>2</v>
      </c>
      <c r="I300" s="46">
        <v>3.54691918573972</v>
      </c>
      <c r="J300" s="304">
        <v>3.3493804609491402</v>
      </c>
      <c r="K300" s="212">
        <v>2.98050194334109</v>
      </c>
      <c r="L300" s="2105">
        <v>3.2642066681630499</v>
      </c>
      <c r="M300" s="1040">
        <v>3.3886427841093099</v>
      </c>
      <c r="N300" s="663">
        <v>3.6007077665604301</v>
      </c>
      <c r="O300" s="1270">
        <v>4.8097757874252602</v>
      </c>
      <c r="P300" s="805">
        <v>4.5961304586408298</v>
      </c>
      <c r="Q300" s="2197">
        <v>4.5685602770790101</v>
      </c>
      <c r="R300" s="617">
        <v>6.5334654814443898</v>
      </c>
      <c r="S300" s="707">
        <v>6.2962734811768204</v>
      </c>
      <c r="T300" s="1154">
        <v>5.9440647583117796</v>
      </c>
    </row>
    <row r="301" spans="1:20">
      <c r="A301" t="s">
        <v>927</v>
      </c>
      <c r="B301" s="6" t="str">
        <f>HYPERLINK("http://www.ncbi.nlm.nih.gov/gene/56213", "56213")</f>
        <v>56213</v>
      </c>
      <c r="C301" s="6" t="str">
        <f>HYPERLINK("http://www.ncbi.nlm.nih.gov/gene/5654", "5654")</f>
        <v>5654</v>
      </c>
      <c r="D301" t="str">
        <f>"Htra1"</f>
        <v>Htra1</v>
      </c>
      <c r="E301" t="s">
        <v>928</v>
      </c>
      <c r="F301" t="s">
        <v>929</v>
      </c>
      <c r="H301" s="516">
        <v>2</v>
      </c>
      <c r="I301" s="239">
        <v>5.70674186612196</v>
      </c>
      <c r="J301" s="299">
        <v>5.5617003823433198</v>
      </c>
      <c r="K301" s="135">
        <v>5.5721185218361802</v>
      </c>
      <c r="L301" s="1846">
        <v>5.9410787342845603</v>
      </c>
      <c r="M301" s="1181">
        <v>5.82769782630825</v>
      </c>
      <c r="N301" s="1181">
        <v>5.8241365426942</v>
      </c>
      <c r="O301" s="954">
        <v>7.23984118477411</v>
      </c>
      <c r="P301" s="750">
        <v>6.9762294835183001</v>
      </c>
      <c r="Q301" s="2108">
        <v>7.0097191637972198</v>
      </c>
      <c r="R301" s="725">
        <v>8.8137496618737892</v>
      </c>
      <c r="S301" s="1041">
        <v>8.5933462070797706</v>
      </c>
      <c r="T301" s="1123">
        <v>8.5024560439357195</v>
      </c>
    </row>
    <row r="302" spans="1:20">
      <c r="A302" t="s">
        <v>930</v>
      </c>
      <c r="B302" s="6" t="str">
        <f>HYPERLINK("http://www.ncbi.nlm.nih.gov/gene/380928", "380928")</f>
        <v>380928</v>
      </c>
      <c r="C302" s="6" t="str">
        <f>HYPERLINK("http://www.ncbi.nlm.nih.gov/gene/4008", "4008")</f>
        <v>4008</v>
      </c>
      <c r="D302" t="str">
        <f>"Lmo7"</f>
        <v>Lmo7</v>
      </c>
      <c r="E302" t="s">
        <v>931</v>
      </c>
      <c r="F302" t="s">
        <v>932</v>
      </c>
      <c r="G302" t="s">
        <v>933</v>
      </c>
      <c r="H302" s="516">
        <v>2</v>
      </c>
      <c r="I302" s="95">
        <v>4.5497624347755901</v>
      </c>
      <c r="J302" s="290">
        <v>4.4497661693909301</v>
      </c>
      <c r="K302" s="226">
        <v>4.2497919883966597</v>
      </c>
      <c r="L302" s="2043">
        <v>4.6126333967810202</v>
      </c>
      <c r="M302" s="619">
        <v>4.7978328367002296</v>
      </c>
      <c r="N302" s="659">
        <v>5.0857523844836097</v>
      </c>
      <c r="O302" s="1121">
        <v>6.1910254757758896</v>
      </c>
      <c r="P302" s="798">
        <v>5.9174291020964098</v>
      </c>
      <c r="Q302" s="2213">
        <v>6.2625937205361097</v>
      </c>
      <c r="R302" s="570">
        <v>8.1140445703453494</v>
      </c>
      <c r="S302" s="697">
        <v>8.0969546553459608</v>
      </c>
      <c r="T302" s="1260">
        <v>7.9973392187262702</v>
      </c>
    </row>
    <row r="303" spans="1:20">
      <c r="A303" t="s">
        <v>934</v>
      </c>
      <c r="B303" s="6" t="str">
        <f>HYPERLINK("http://www.ncbi.nlm.nih.gov/gene/23964", "23964")</f>
        <v>23964</v>
      </c>
      <c r="C303" s="6" t="str">
        <f>HYPERLINK("http://www.ncbi.nlm.nih.gov/gene/57451", "57451")</f>
        <v>57451</v>
      </c>
      <c r="D303" t="str">
        <f>"Odz2"</f>
        <v>Odz2</v>
      </c>
      <c r="E303" t="s">
        <v>935</v>
      </c>
      <c r="F303" t="s">
        <v>936</v>
      </c>
      <c r="H303" s="516">
        <v>2</v>
      </c>
      <c r="I303" s="73">
        <v>3.44910901566216</v>
      </c>
      <c r="J303" s="175">
        <v>2.7395987993861199</v>
      </c>
      <c r="K303" s="237">
        <v>3.0962715872551301</v>
      </c>
      <c r="L303" s="2105">
        <v>3.1036426574928302</v>
      </c>
      <c r="M303" s="1109">
        <v>3.2287969496065401</v>
      </c>
      <c r="N303" s="859">
        <v>3.2171315063787498</v>
      </c>
      <c r="O303" s="936">
        <v>4.92604819783688</v>
      </c>
      <c r="P303" s="764">
        <v>4.7933196964727003</v>
      </c>
      <c r="Q303" s="2214">
        <v>4.8410365318687303</v>
      </c>
      <c r="R303" s="657">
        <v>6.2973531081202996</v>
      </c>
      <c r="S303" s="1164">
        <v>6.2648648339120196</v>
      </c>
      <c r="T303" s="1217">
        <v>6.1744366899800402</v>
      </c>
    </row>
    <row r="304" spans="1:20">
      <c r="A304" t="s">
        <v>937</v>
      </c>
      <c r="B304" s="6" t="str">
        <f>HYPERLINK("http://www.ncbi.nlm.nih.gov/gene/15375", "15375")</f>
        <v>15375</v>
      </c>
      <c r="C304" s="6" t="str">
        <f>HYPERLINK("http://www.ncbi.nlm.nih.gov/gene/3169", "3169")</f>
        <v>3169</v>
      </c>
      <c r="D304" t="str">
        <f>"Foxa1"</f>
        <v>Foxa1</v>
      </c>
      <c r="E304" t="s">
        <v>938</v>
      </c>
      <c r="F304" t="s">
        <v>939</v>
      </c>
      <c r="H304" s="516">
        <v>2</v>
      </c>
      <c r="I304" s="114">
        <v>4.0482857711397999</v>
      </c>
      <c r="J304" s="180">
        <v>3.2920012351943901</v>
      </c>
      <c r="K304" s="127">
        <v>3.7309087842086099</v>
      </c>
      <c r="L304" s="2195">
        <v>3.7305725027460399</v>
      </c>
      <c r="M304" s="1193">
        <v>3.4724908538148802</v>
      </c>
      <c r="N304" s="1188">
        <v>3.4857042896063501</v>
      </c>
      <c r="O304" s="1266">
        <v>5.8121319952546298</v>
      </c>
      <c r="P304" s="796">
        <v>5.8785777315322001</v>
      </c>
      <c r="Q304" s="2214">
        <v>6.01433829809835</v>
      </c>
      <c r="R304" s="631">
        <v>7.91748665443746</v>
      </c>
      <c r="S304" s="648">
        <v>8.1135307463430895</v>
      </c>
      <c r="T304" s="995">
        <v>8.2065894731830493</v>
      </c>
    </row>
    <row r="305" spans="1:20">
      <c r="A305" t="s">
        <v>953</v>
      </c>
      <c r="B305" s="6" t="str">
        <f>HYPERLINK("http://www.ncbi.nlm.nih.gov/gene/15186", "15186")</f>
        <v>15186</v>
      </c>
      <c r="C305" s="6" t="str">
        <f>HYPERLINK("http://www.ncbi.nlm.nih.gov/gene/3067", "3067")</f>
        <v>3067</v>
      </c>
      <c r="D305" t="str">
        <f>"Hdc"</f>
        <v>Hdc</v>
      </c>
      <c r="E305" t="s">
        <v>954</v>
      </c>
      <c r="F305" t="s">
        <v>940</v>
      </c>
      <c r="G305" t="s">
        <v>941</v>
      </c>
      <c r="H305" s="516">
        <v>2</v>
      </c>
      <c r="I305" s="165">
        <v>2.3858796459978202</v>
      </c>
      <c r="J305" s="290">
        <v>2.18346032393463</v>
      </c>
      <c r="K305" s="215">
        <v>2.0403198248188001</v>
      </c>
      <c r="L305" s="2072">
        <v>2.22969696383075</v>
      </c>
      <c r="M305" s="1346">
        <v>2.5205460187487301</v>
      </c>
      <c r="N305" s="1040">
        <v>2.4264857427825199</v>
      </c>
      <c r="O305" s="847">
        <v>4.1850975609381598</v>
      </c>
      <c r="P305" s="901">
        <v>4.6683100068299899</v>
      </c>
      <c r="Q305" s="2215">
        <v>4.2998245640629902</v>
      </c>
      <c r="R305" s="1041">
        <v>6.2047011619828503</v>
      </c>
      <c r="S305" s="756">
        <v>6.0669422506112003</v>
      </c>
      <c r="T305" s="1203">
        <v>6.1670491416503896</v>
      </c>
    </row>
    <row r="306" spans="1:20">
      <c r="A306" t="s">
        <v>942</v>
      </c>
      <c r="B306" s="6" t="str">
        <f>HYPERLINK("http://www.ncbi.nlm.nih.gov/gene/72293", "72293")</f>
        <v>72293</v>
      </c>
      <c r="C306" s="6" t="str">
        <f>HYPERLINK("http://www.ncbi.nlm.nih.gov/gene/85409", "85409")</f>
        <v>85409</v>
      </c>
      <c r="D306" t="str">
        <f>"Nkd2"</f>
        <v>Nkd2</v>
      </c>
      <c r="E306" t="s">
        <v>943</v>
      </c>
      <c r="F306" t="s">
        <v>944</v>
      </c>
      <c r="G306" t="s">
        <v>611</v>
      </c>
      <c r="H306" s="516">
        <v>2</v>
      </c>
      <c r="I306" s="221">
        <v>4.9136405545692696</v>
      </c>
      <c r="J306" s="233">
        <v>4.8718249275656103</v>
      </c>
      <c r="K306" s="75">
        <v>5.0530853351017102</v>
      </c>
      <c r="L306" s="1873">
        <v>4.9070110352826504</v>
      </c>
      <c r="M306" s="1289">
        <v>4.8522760274680898</v>
      </c>
      <c r="N306" s="561">
        <v>5.2207426520586102</v>
      </c>
      <c r="O306" s="1270">
        <v>6.9257656071437799</v>
      </c>
      <c r="P306" s="875">
        <v>7.1730459150363997</v>
      </c>
      <c r="Q306" s="1982">
        <v>7.2336896058643196</v>
      </c>
      <c r="R306" s="755">
        <v>8.5649374034765895</v>
      </c>
      <c r="S306" s="648">
        <v>8.73943980235385</v>
      </c>
      <c r="T306" s="1253">
        <v>8.5146614651302404</v>
      </c>
    </row>
    <row r="307" spans="1:20">
      <c r="A307" t="s">
        <v>945</v>
      </c>
      <c r="B307" s="6" t="str">
        <f>HYPERLINK("http://www.ncbi.nlm.nih.gov/gene/16597", "16597")</f>
        <v>16597</v>
      </c>
      <c r="C307" s="6" t="str">
        <f>HYPERLINK("http://www.ncbi.nlm.nih.gov/gene/11278", "11278")</f>
        <v>11278</v>
      </c>
      <c r="D307" t="str">
        <f>"Klf12"</f>
        <v>Klf12</v>
      </c>
      <c r="E307" t="s">
        <v>946</v>
      </c>
      <c r="F307" t="s">
        <v>947</v>
      </c>
      <c r="H307" s="516">
        <v>2</v>
      </c>
      <c r="I307" s="75">
        <v>5.9461309464052698</v>
      </c>
      <c r="J307" s="304">
        <v>5.9514952200082201</v>
      </c>
      <c r="K307" s="123">
        <v>5.9948923733817896</v>
      </c>
      <c r="L307" s="2195">
        <v>5.97536160483694</v>
      </c>
      <c r="M307" s="1191">
        <v>5.9264384495049596</v>
      </c>
      <c r="N307" s="872">
        <v>5.9519486817799701</v>
      </c>
      <c r="O307" s="1129">
        <v>6.7991375382266099</v>
      </c>
      <c r="P307" s="720">
        <v>6.7420371335353604</v>
      </c>
      <c r="Q307" s="2022">
        <v>7.01445580627556</v>
      </c>
      <c r="R307" s="598">
        <v>8.1175161474587902</v>
      </c>
      <c r="S307" s="707">
        <v>8.0525801140945106</v>
      </c>
      <c r="T307" s="1261">
        <v>7.9903856998912097</v>
      </c>
    </row>
    <row r="308" spans="1:20">
      <c r="A308" t="s">
        <v>948</v>
      </c>
      <c r="B308" s="6" t="str">
        <f>HYPERLINK("http://www.ncbi.nlm.nih.gov/gene/18191", "18191")</f>
        <v>18191</v>
      </c>
      <c r="C308" s="6" t="str">
        <f>HYPERLINK("http://www.ncbi.nlm.nih.gov/gene/", "")</f>
        <v/>
      </c>
      <c r="D308" t="str">
        <f>"Nrxn3"</f>
        <v>Nrxn3</v>
      </c>
      <c r="E308" t="s">
        <v>949</v>
      </c>
      <c r="F308" t="s">
        <v>950</v>
      </c>
      <c r="G308" t="s">
        <v>362</v>
      </c>
      <c r="H308" s="516">
        <v>2</v>
      </c>
      <c r="I308" s="51">
        <v>5.3576348715236799</v>
      </c>
      <c r="J308" s="27">
        <v>5.3671427467431201</v>
      </c>
      <c r="K308" s="182">
        <v>5.5643485589631299</v>
      </c>
      <c r="L308" s="1948">
        <v>5.0124005433367902</v>
      </c>
      <c r="M308" s="1340">
        <v>5.2574626180764499</v>
      </c>
      <c r="N308" s="1191">
        <v>5.2750639452406798</v>
      </c>
      <c r="O308" s="1127">
        <v>6.3265218921698896</v>
      </c>
      <c r="P308" s="645">
        <v>6.26988381366965</v>
      </c>
      <c r="Q308" s="2213">
        <v>6.41963431214013</v>
      </c>
      <c r="R308" s="586">
        <v>7.6963948194378302</v>
      </c>
      <c r="S308" s="675">
        <v>7.6307094355764402</v>
      </c>
      <c r="T308" s="1175">
        <v>7.5991491846531698</v>
      </c>
    </row>
    <row r="309" spans="1:20">
      <c r="A309" t="s">
        <v>951</v>
      </c>
      <c r="B309" s="6" t="str">
        <f>HYPERLINK("http://www.ncbi.nlm.nih.gov/gene/14811", "14811")</f>
        <v>14811</v>
      </c>
      <c r="C309" s="6" t="str">
        <f>HYPERLINK("http://www.ncbi.nlm.nih.gov/gene/2903", "2903")</f>
        <v>2903</v>
      </c>
      <c r="D309" t="str">
        <f>"Grin2a"</f>
        <v>Grin2a</v>
      </c>
      <c r="E309" t="s">
        <v>952</v>
      </c>
      <c r="F309" t="s">
        <v>955</v>
      </c>
      <c r="G309" t="s">
        <v>956</v>
      </c>
      <c r="H309" s="516">
        <v>2</v>
      </c>
      <c r="I309" s="91">
        <v>2.43934776392127</v>
      </c>
      <c r="J309" s="38">
        <v>2.8283522022638499</v>
      </c>
      <c r="K309" s="239">
        <v>2.2695675336312</v>
      </c>
      <c r="L309" s="1940">
        <v>2.11625836710191</v>
      </c>
      <c r="M309" s="859">
        <v>2.3001809899996202</v>
      </c>
      <c r="N309" s="627">
        <v>2.6343728423155199</v>
      </c>
      <c r="O309" s="736">
        <v>2.8053549943990901</v>
      </c>
      <c r="P309" s="654">
        <v>2.7095201339566</v>
      </c>
      <c r="Q309" s="2216">
        <v>2.5641345108981102</v>
      </c>
      <c r="R309" s="994">
        <v>4.3045296785106801</v>
      </c>
      <c r="S309" s="586">
        <v>4.0158991141307503</v>
      </c>
      <c r="T309" s="1201">
        <v>3.79385471432906</v>
      </c>
    </row>
    <row r="310" spans="1:20">
      <c r="A310" t="s">
        <v>957</v>
      </c>
      <c r="B310" s="6" t="str">
        <f>HYPERLINK("http://www.ncbi.nlm.nih.gov/gene/20689", "20689")</f>
        <v>20689</v>
      </c>
      <c r="C310" s="6" t="str">
        <f>HYPERLINK("http://www.ncbi.nlm.nih.gov/gene/27164", "27164")</f>
        <v>27164</v>
      </c>
      <c r="D310" t="str">
        <f>"Sall3"</f>
        <v>Sall3</v>
      </c>
      <c r="E310" t="s">
        <v>958</v>
      </c>
      <c r="F310" t="s">
        <v>959</v>
      </c>
      <c r="H310" s="516">
        <v>2</v>
      </c>
      <c r="I310" s="57">
        <v>2.73617736524647</v>
      </c>
      <c r="J310" s="55">
        <v>2.6035383839947799</v>
      </c>
      <c r="K310" s="80">
        <v>2.3244877924386902</v>
      </c>
      <c r="L310" s="1887">
        <v>2.44302787374889</v>
      </c>
      <c r="M310" s="715">
        <v>2.5481402984502002</v>
      </c>
      <c r="N310" s="554">
        <v>2.61161688754627</v>
      </c>
      <c r="O310" s="1269">
        <v>3.16832550100469</v>
      </c>
      <c r="P310" s="712">
        <v>2.5954972848450799</v>
      </c>
      <c r="Q310" s="2073">
        <v>2.5871107373218099</v>
      </c>
      <c r="R310" s="666">
        <v>4.2842166695529</v>
      </c>
      <c r="S310" s="625">
        <v>4.6274459947522804</v>
      </c>
      <c r="T310" s="1199">
        <v>4.0942336416341201</v>
      </c>
    </row>
    <row r="311" spans="1:20">
      <c r="A311" t="s">
        <v>960</v>
      </c>
      <c r="B311" s="6" t="str">
        <f>HYPERLINK("http://www.ncbi.nlm.nih.gov/gene/100502811", "100502811")</f>
        <v>100502811</v>
      </c>
      <c r="C311" s="6" t="str">
        <f>HYPERLINK("http://www.ncbi.nlm.nih.gov/gene/", "")</f>
        <v/>
      </c>
      <c r="D311" t="str">
        <f>"Gm19389"</f>
        <v>Gm19389</v>
      </c>
      <c r="E311" t="s">
        <v>961</v>
      </c>
      <c r="H311" s="516">
        <v>2</v>
      </c>
      <c r="I311" s="96">
        <v>3.5111697348319999</v>
      </c>
      <c r="J311" s="53">
        <v>3.37683727549196</v>
      </c>
      <c r="K311" s="215">
        <v>2.9803405965668301</v>
      </c>
      <c r="L311" s="2084">
        <v>3.1946529863211901</v>
      </c>
      <c r="M311" s="619">
        <v>3.26057342340575</v>
      </c>
      <c r="N311" s="561">
        <v>3.2370877245409999</v>
      </c>
      <c r="O311" s="1273">
        <v>4.0028928573084999</v>
      </c>
      <c r="P311" s="1095">
        <v>3.7965042247016201</v>
      </c>
      <c r="Q311" s="2217">
        <v>3.50237972354613</v>
      </c>
      <c r="R311" s="597">
        <v>5.4032750768368301</v>
      </c>
      <c r="S311" s="674">
        <v>5.4828208999631096</v>
      </c>
      <c r="T311" s="1274">
        <v>4.9194887973651804</v>
      </c>
    </row>
    <row r="312" spans="1:20">
      <c r="A312" t="s">
        <v>962</v>
      </c>
      <c r="B312" s="6" t="str">
        <f>HYPERLINK("http://www.ncbi.nlm.nih.gov/gene/12672", "12672")</f>
        <v>12672</v>
      </c>
      <c r="C312" s="6" t="str">
        <f>HYPERLINK("http://www.ncbi.nlm.nih.gov/gene/1132", "1132")</f>
        <v>1132</v>
      </c>
      <c r="D312" t="str">
        <f>"Chrm4"</f>
        <v>Chrm4</v>
      </c>
      <c r="E312" t="s">
        <v>963</v>
      </c>
      <c r="F312" t="s">
        <v>964</v>
      </c>
      <c r="G312" t="s">
        <v>965</v>
      </c>
      <c r="H312" s="516">
        <v>2</v>
      </c>
      <c r="I312" s="98">
        <v>3.0170289941478798</v>
      </c>
      <c r="J312" s="43">
        <v>2.9370483802176102</v>
      </c>
      <c r="K312" s="466">
        <v>2.6716677655804602</v>
      </c>
      <c r="L312" s="1869">
        <v>2.8838493667908098</v>
      </c>
      <c r="M312" s="715">
        <v>3.0029559427297001</v>
      </c>
      <c r="N312" s="658">
        <v>3.31798952650065</v>
      </c>
      <c r="O312" s="1275">
        <v>3.52650078470585</v>
      </c>
      <c r="P312" s="869">
        <v>3.2367141567865798</v>
      </c>
      <c r="Q312" s="2218">
        <v>3.0886441024907199</v>
      </c>
      <c r="R312" s="719">
        <v>4.49347923029387</v>
      </c>
      <c r="S312" s="1030">
        <v>4.4614102248605603</v>
      </c>
      <c r="T312" s="1276">
        <v>3.9117266425332602</v>
      </c>
    </row>
    <row r="313" spans="1:20">
      <c r="A313" t="s">
        <v>966</v>
      </c>
      <c r="B313" s="6" t="str">
        <f>HYPERLINK("http://www.ncbi.nlm.nih.gov/gene/269959", "269959")</f>
        <v>269959</v>
      </c>
      <c r="C313" s="6" t="str">
        <f>HYPERLINK("http://www.ncbi.nlm.nih.gov/gene/57188", "57188")</f>
        <v>57188</v>
      </c>
      <c r="D313" t="str">
        <f>"Adamtsl3"</f>
        <v>Adamtsl3</v>
      </c>
      <c r="E313" t="s">
        <v>967</v>
      </c>
      <c r="F313" t="s">
        <v>90</v>
      </c>
      <c r="H313" s="516">
        <v>2</v>
      </c>
      <c r="I313" s="26">
        <v>3.6480613741872601</v>
      </c>
      <c r="J313" s="64">
        <v>3.2595457955691498</v>
      </c>
      <c r="K313" s="199">
        <v>3.2368475080569499</v>
      </c>
      <c r="L313" s="1952">
        <v>3.3972903186979302</v>
      </c>
      <c r="M313" s="533">
        <v>3.7051537111781601</v>
      </c>
      <c r="N313" s="1343">
        <v>3.5827767876307699</v>
      </c>
      <c r="O313" s="1277">
        <v>3.96990129664563</v>
      </c>
      <c r="P313" s="906">
        <v>3.9970031305329199</v>
      </c>
      <c r="Q313" s="2219">
        <v>3.9211841332736799</v>
      </c>
      <c r="R313" s="1003">
        <v>6.85271646935783</v>
      </c>
      <c r="S313" s="698">
        <v>6.2874242108862202</v>
      </c>
      <c r="T313" s="1047">
        <v>6.6064340003388597</v>
      </c>
    </row>
    <row r="314" spans="1:20">
      <c r="A314" t="s">
        <v>968</v>
      </c>
      <c r="B314" s="6" t="str">
        <f>HYPERLINK("http://www.ncbi.nlm.nih.gov/gene/16372", "16372")</f>
        <v>16372</v>
      </c>
      <c r="C314" s="6" t="str">
        <f>HYPERLINK("http://www.ncbi.nlm.nih.gov/gene/153572", "153572")</f>
        <v>153572</v>
      </c>
      <c r="D314" t="str">
        <f>"Irx2"</f>
        <v>Irx2</v>
      </c>
      <c r="E314" t="s">
        <v>969</v>
      </c>
      <c r="F314" t="s">
        <v>614</v>
      </c>
      <c r="H314" s="516">
        <v>2</v>
      </c>
      <c r="I314" s="305">
        <v>4.7817756987418596</v>
      </c>
      <c r="J314" s="75">
        <v>4.3975550958661396</v>
      </c>
      <c r="K314" s="26">
        <v>4.7097283143220299</v>
      </c>
      <c r="L314" s="2195">
        <v>4.4288075523721702</v>
      </c>
      <c r="M314" s="1037">
        <v>4.5049462279986896</v>
      </c>
      <c r="N314" s="1040">
        <v>4.4372014201776597</v>
      </c>
      <c r="O314" s="1278">
        <v>5.1141168726725699</v>
      </c>
      <c r="P314" s="705">
        <v>5.0462421143378</v>
      </c>
      <c r="Q314" s="2077">
        <v>4.88613669583229</v>
      </c>
      <c r="R314" s="652">
        <v>6.8613598792305197</v>
      </c>
      <c r="S314" s="679">
        <v>6.7422551162959197</v>
      </c>
      <c r="T314" s="1057">
        <v>6.7940084681110902</v>
      </c>
    </row>
    <row r="315" spans="1:20">
      <c r="A315" t="s">
        <v>970</v>
      </c>
      <c r="B315" s="6" t="str">
        <f>HYPERLINK("http://www.ncbi.nlm.nih.gov/gene/67569", "67569")</f>
        <v>67569</v>
      </c>
      <c r="C315" s="6" t="str">
        <f>HYPERLINK("http://www.ncbi.nlm.nih.gov/gene/25834", "25834")</f>
        <v>25834</v>
      </c>
      <c r="D315" t="str">
        <f>"Mgat4c"</f>
        <v>Mgat4c</v>
      </c>
      <c r="E315" t="s">
        <v>971</v>
      </c>
      <c r="F315" t="s">
        <v>972</v>
      </c>
      <c r="G315" t="s">
        <v>973</v>
      </c>
      <c r="H315" s="516">
        <v>2</v>
      </c>
      <c r="I315" s="120">
        <v>2.34174830649807</v>
      </c>
      <c r="J315" s="273">
        <v>2.0987669577433601</v>
      </c>
      <c r="K315" s="60">
        <v>2.0450938472457101</v>
      </c>
      <c r="L315" s="2220">
        <v>2.3114207962850499</v>
      </c>
      <c r="M315" s="554">
        <v>2.2768632743410002</v>
      </c>
      <c r="N315" s="1223">
        <v>2.1225993087027599</v>
      </c>
      <c r="O315" s="1278">
        <v>2.7343845800221702</v>
      </c>
      <c r="P315" s="549">
        <v>2.3537036620863501</v>
      </c>
      <c r="Q315" s="2221">
        <v>2.1723882696075298</v>
      </c>
      <c r="R315" s="586">
        <v>4.5093785907725197</v>
      </c>
      <c r="S315" s="653">
        <v>4.7211313847532903</v>
      </c>
      <c r="T315" s="1107">
        <v>4.6358024522390098</v>
      </c>
    </row>
    <row r="316" spans="1:20">
      <c r="A316" t="s">
        <v>974</v>
      </c>
      <c r="B316" s="6" t="str">
        <f>HYPERLINK("http://www.ncbi.nlm.nih.gov/gene/109294", "109294")</f>
        <v>109294</v>
      </c>
      <c r="C316" s="6" t="str">
        <f>HYPERLINK("http://www.ncbi.nlm.nih.gov/gene/80243", "80243")</f>
        <v>80243</v>
      </c>
      <c r="D316" t="str">
        <f>"Prex2"</f>
        <v>Prex2</v>
      </c>
      <c r="E316" t="s">
        <v>975</v>
      </c>
      <c r="F316" t="s">
        <v>976</v>
      </c>
      <c r="H316" s="516">
        <v>2</v>
      </c>
      <c r="I316" s="141">
        <v>4.8033982581304402</v>
      </c>
      <c r="J316" s="135">
        <v>4.5540852606462101</v>
      </c>
      <c r="K316" s="160">
        <v>4.8290028589755796</v>
      </c>
      <c r="L316" s="1893">
        <v>4.8009194010368601</v>
      </c>
      <c r="M316" s="583">
        <v>4.8683242172924004</v>
      </c>
      <c r="N316" s="1291">
        <v>5.0466728896493898</v>
      </c>
      <c r="O316" s="989">
        <v>4.9379321963101299</v>
      </c>
      <c r="P316" s="609">
        <v>4.9588883007430304</v>
      </c>
      <c r="Q316" s="2222">
        <v>5.1401200722761002</v>
      </c>
      <c r="R316" s="635">
        <v>6.8006118208717199</v>
      </c>
      <c r="S316" s="586">
        <v>6.4755926857914199</v>
      </c>
      <c r="T316" s="1205">
        <v>6.3362751314418704</v>
      </c>
    </row>
    <row r="317" spans="1:20">
      <c r="A317" t="s">
        <v>977</v>
      </c>
      <c r="B317" s="6" t="str">
        <f>HYPERLINK("http://www.ncbi.nlm.nih.gov/gene/26358", "26358")</f>
        <v>26358</v>
      </c>
      <c r="C317" s="6" t="str">
        <f>HYPERLINK("http://www.ncbi.nlm.nih.gov/gene/", "")</f>
        <v/>
      </c>
      <c r="D317" t="str">
        <f>"Aldh1a7"</f>
        <v>Aldh1a7</v>
      </c>
      <c r="E317" t="s">
        <v>978</v>
      </c>
      <c r="F317" t="s">
        <v>979</v>
      </c>
      <c r="G317" t="s">
        <v>980</v>
      </c>
      <c r="H317" s="516">
        <v>2</v>
      </c>
      <c r="I317" s="64">
        <v>3.7031464731742298</v>
      </c>
      <c r="J317" s="160">
        <v>3.9344602748291599</v>
      </c>
      <c r="K317" s="43">
        <v>3.8053582790191198</v>
      </c>
      <c r="L317" s="2089">
        <v>3.90383250689746</v>
      </c>
      <c r="M317" s="662">
        <v>3.9468959703619801</v>
      </c>
      <c r="N317" s="573">
        <v>3.8353275553636901</v>
      </c>
      <c r="O317" s="1279">
        <v>4.4268440290746103</v>
      </c>
      <c r="P317" s="594">
        <v>4.0729956024029503</v>
      </c>
      <c r="Q317" s="2182">
        <v>4.4625013687578701</v>
      </c>
      <c r="R317" s="1013">
        <v>6.4388761464846302</v>
      </c>
      <c r="S317" s="733">
        <v>6.6047768750328997</v>
      </c>
      <c r="T317" s="1199">
        <v>5.9981216081220401</v>
      </c>
    </row>
    <row r="318" spans="1:20">
      <c r="A318" t="s">
        <v>981</v>
      </c>
      <c r="B318" s="6" t="str">
        <f>HYPERLINK("http://www.ncbi.nlm.nih.gov/gene/241062", "241062")</f>
        <v>241062</v>
      </c>
      <c r="C318" s="6" t="str">
        <f>HYPERLINK("http://www.ncbi.nlm.nih.gov/gene/80055", "80055")</f>
        <v>80055</v>
      </c>
      <c r="D318" t="str">
        <f>"Pgap1"</f>
        <v>Pgap1</v>
      </c>
      <c r="E318" t="s">
        <v>982</v>
      </c>
      <c r="F318" t="s">
        <v>983</v>
      </c>
      <c r="G318" t="s">
        <v>984</v>
      </c>
      <c r="H318" s="516">
        <v>2</v>
      </c>
      <c r="I318" s="41">
        <v>6.589619901422</v>
      </c>
      <c r="J318" s="80">
        <v>6.3754006562647101</v>
      </c>
      <c r="K318" s="127">
        <v>6.42294084485677</v>
      </c>
      <c r="L318" s="1954">
        <v>6.39147437303905</v>
      </c>
      <c r="M318" s="549">
        <v>6.6107829358186798</v>
      </c>
      <c r="N318" s="669">
        <v>6.6279564523409302</v>
      </c>
      <c r="O318" s="1001">
        <v>6.6073238750083396</v>
      </c>
      <c r="P318" s="695">
        <v>6.74390718892362</v>
      </c>
      <c r="Q318" s="2191">
        <v>6.8390690070715801</v>
      </c>
      <c r="R318" s="804">
        <v>7.6569980188453703</v>
      </c>
      <c r="S318" s="733">
        <v>7.8994808014364404</v>
      </c>
      <c r="T318" s="1061">
        <v>7.7279043725246304</v>
      </c>
    </row>
    <row r="319" spans="1:20">
      <c r="A319" t="s">
        <v>985</v>
      </c>
      <c r="B319" s="6" t="str">
        <f>HYPERLINK("http://www.ncbi.nlm.nih.gov/gene/70122", "70122")</f>
        <v>70122</v>
      </c>
      <c r="C319" s="6" t="str">
        <f>HYPERLINK("http://www.ncbi.nlm.nih.gov/gene/4300", "4300")</f>
        <v>4300</v>
      </c>
      <c r="D319" t="str">
        <f>"Mllt3"</f>
        <v>Mllt3</v>
      </c>
      <c r="E319" t="s">
        <v>986</v>
      </c>
      <c r="F319" t="s">
        <v>987</v>
      </c>
      <c r="H319" s="516">
        <v>2</v>
      </c>
      <c r="I319" s="114">
        <v>8.4474684947032799</v>
      </c>
      <c r="J319" s="51">
        <v>8.3755667980084603</v>
      </c>
      <c r="K319" s="154">
        <v>8.4155109211822499</v>
      </c>
      <c r="L319" s="2051">
        <v>8.4523898809284201</v>
      </c>
      <c r="M319" s="997">
        <v>8.3330441967920095</v>
      </c>
      <c r="N319" s="699">
        <v>8.6144188599316003</v>
      </c>
      <c r="O319" s="1280">
        <v>8.5324487334419796</v>
      </c>
      <c r="P319" s="849">
        <v>8.7270464802513992</v>
      </c>
      <c r="Q319" s="2223">
        <v>8.6659667564992695</v>
      </c>
      <c r="R319" s="577">
        <v>9.6583328192553193</v>
      </c>
      <c r="S319" s="868">
        <v>9.7027973517896307</v>
      </c>
      <c r="T319" s="1059">
        <v>9.6766173561192108</v>
      </c>
    </row>
    <row r="320" spans="1:20">
      <c r="A320" t="s">
        <v>988</v>
      </c>
      <c r="B320" s="6" t="str">
        <f>HYPERLINK("http://www.ncbi.nlm.nih.gov/gene/73873", "73873")</f>
        <v>73873</v>
      </c>
      <c r="C320" s="6" t="str">
        <f>HYPERLINK("http://www.ncbi.nlm.nih.gov/gene/84140", "84140")</f>
        <v>84140</v>
      </c>
      <c r="D320" t="str">
        <f>"Fam161a"</f>
        <v>Fam161a</v>
      </c>
      <c r="E320" t="s">
        <v>989</v>
      </c>
      <c r="F320" t="s">
        <v>990</v>
      </c>
      <c r="H320" s="517">
        <v>3</v>
      </c>
      <c r="I320" s="470">
        <v>4.6782615358494803</v>
      </c>
      <c r="J320" s="494">
        <v>4.4831752905564102</v>
      </c>
      <c r="K320" s="22">
        <v>5.2969901414894096</v>
      </c>
      <c r="L320" s="1925">
        <v>3.44922227046523</v>
      </c>
      <c r="M320" s="1188">
        <v>3.5849525602211401</v>
      </c>
      <c r="N320" s="627">
        <v>3.8834398447440002</v>
      </c>
      <c r="O320" s="996">
        <v>3.8500344929646002</v>
      </c>
      <c r="P320" s="835">
        <v>4.0770319104008701</v>
      </c>
      <c r="Q320" s="2197">
        <v>4.1410470673087598</v>
      </c>
      <c r="R320" s="1007">
        <v>3.6660730864372</v>
      </c>
      <c r="S320" s="579">
        <v>3.8076365940259298</v>
      </c>
      <c r="T320" s="664">
        <v>3.9624907245393199</v>
      </c>
    </row>
    <row r="321" spans="1:20">
      <c r="A321" t="s">
        <v>991</v>
      </c>
      <c r="B321" s="6" t="str">
        <f>HYPERLINK("http://www.ncbi.nlm.nih.gov/gene/319582", "319582")</f>
        <v>319582</v>
      </c>
      <c r="C321" s="6" t="str">
        <f>HYPERLINK("http://www.ncbi.nlm.nih.gov/gene/57604", "57604")</f>
        <v>57604</v>
      </c>
      <c r="D321" t="str">
        <f>"6430573F11Rik"</f>
        <v>6430573F11Rik</v>
      </c>
      <c r="E321" t="s">
        <v>992</v>
      </c>
      <c r="F321" t="s">
        <v>993</v>
      </c>
      <c r="H321" s="517">
        <v>3</v>
      </c>
      <c r="I321" s="158">
        <v>5.0298794464547703</v>
      </c>
      <c r="J321" s="279">
        <v>5.3159442375859696</v>
      </c>
      <c r="K321" s="460">
        <v>5.7232602037243803</v>
      </c>
      <c r="L321" s="2094">
        <v>3.5583914401179499</v>
      </c>
      <c r="M321" s="555">
        <v>3.76803953889701</v>
      </c>
      <c r="N321" s="832">
        <v>4.0693488560751199</v>
      </c>
      <c r="O321" s="880">
        <v>4.4544020744169401</v>
      </c>
      <c r="P321" s="549">
        <v>4.0633920180870202</v>
      </c>
      <c r="Q321" s="1997">
        <v>4.6351186342802402</v>
      </c>
      <c r="R321" s="1281">
        <v>3.7607739858163902</v>
      </c>
      <c r="S321" s="649">
        <v>4.2818055325096003</v>
      </c>
      <c r="T321" s="1282">
        <v>3.8763011976963799</v>
      </c>
    </row>
    <row r="322" spans="1:20">
      <c r="A322" t="s">
        <v>994</v>
      </c>
      <c r="B322" s="6" t="str">
        <f>HYPERLINK("http://www.ncbi.nlm.nih.gov/gene/17954", "17954")</f>
        <v>17954</v>
      </c>
      <c r="C322" s="6" t="str">
        <f>HYPERLINK("http://www.ncbi.nlm.nih.gov/gene/4674", "4674")</f>
        <v>4674</v>
      </c>
      <c r="D322" t="str">
        <f>"Nap1l2"</f>
        <v>Nap1l2</v>
      </c>
      <c r="E322" t="s">
        <v>995</v>
      </c>
      <c r="F322" t="s">
        <v>996</v>
      </c>
      <c r="H322" s="517">
        <v>3</v>
      </c>
      <c r="I322" s="403">
        <v>3.94087707522241</v>
      </c>
      <c r="J322" s="375">
        <v>4.0133451402729898</v>
      </c>
      <c r="K322" s="22">
        <v>4.6863960857606699</v>
      </c>
      <c r="L322" s="1887">
        <v>3.1156809977155802</v>
      </c>
      <c r="M322" s="662">
        <v>3.2061864969123302</v>
      </c>
      <c r="N322" s="859">
        <v>3.08350357567033</v>
      </c>
      <c r="O322" s="1283">
        <v>3.6715650074951398</v>
      </c>
      <c r="P322" s="800">
        <v>3.6483954191747898</v>
      </c>
      <c r="Q322" s="2224">
        <v>3.77258779868234</v>
      </c>
      <c r="R322" s="1285">
        <v>2.7080714119043399</v>
      </c>
      <c r="S322" s="699">
        <v>3.3398268187928699</v>
      </c>
      <c r="T322" s="877">
        <v>3.10518477880465</v>
      </c>
    </row>
    <row r="323" spans="1:20">
      <c r="A323" t="s">
        <v>997</v>
      </c>
      <c r="B323" s="6" t="str">
        <f>HYPERLINK("http://www.ncbi.nlm.nih.gov/gene/14709", "14709")</f>
        <v>14709</v>
      </c>
      <c r="C323" s="6" t="str">
        <f>HYPERLINK("http://www.ncbi.nlm.nih.gov/gene/94235", "94235")</f>
        <v>94235</v>
      </c>
      <c r="D323" t="str">
        <f>"Gng8"</f>
        <v>Gng8</v>
      </c>
      <c r="E323" t="s">
        <v>998</v>
      </c>
      <c r="F323" t="s">
        <v>999</v>
      </c>
      <c r="G323" t="s">
        <v>1000</v>
      </c>
      <c r="H323" s="517">
        <v>3</v>
      </c>
      <c r="I323" s="484">
        <v>5.5491859263590904</v>
      </c>
      <c r="J323" s="191">
        <v>5.76223697296032</v>
      </c>
      <c r="K323" s="22">
        <v>6.0880841912502497</v>
      </c>
      <c r="L323" s="2088">
        <v>4.6168526545853501</v>
      </c>
      <c r="M323" s="790">
        <v>4.8489982050115801</v>
      </c>
      <c r="N323" s="734">
        <v>4.5884977495639498</v>
      </c>
      <c r="O323" s="1236">
        <v>4.8986496590349899</v>
      </c>
      <c r="P323" s="778">
        <v>5.0230777225924896</v>
      </c>
      <c r="Q323" s="2180">
        <v>4.8714571451034496</v>
      </c>
      <c r="R323" s="573">
        <v>4.5660209225601296</v>
      </c>
      <c r="S323" s="1286">
        <v>4.1676901285694701</v>
      </c>
      <c r="T323" s="1287">
        <v>4.53045786521613</v>
      </c>
    </row>
    <row r="324" spans="1:20">
      <c r="A324" t="s">
        <v>1001</v>
      </c>
      <c r="B324" s="6" t="str">
        <f>HYPERLINK("http://www.ncbi.nlm.nih.gov/gene/105387", "105387")</f>
        <v>105387</v>
      </c>
      <c r="C324" s="6" t="str">
        <f>HYPERLINK("http://www.ncbi.nlm.nih.gov/gene/", "")</f>
        <v/>
      </c>
      <c r="D324" t="str">
        <f>"Akr1c14"</f>
        <v>Akr1c14</v>
      </c>
      <c r="E324" t="s">
        <v>1002</v>
      </c>
      <c r="F324" t="s">
        <v>1003</v>
      </c>
      <c r="H324" s="517">
        <v>3</v>
      </c>
      <c r="I324" s="174">
        <v>3.7485311998817501</v>
      </c>
      <c r="J324" s="264">
        <v>3.9164156298394599</v>
      </c>
      <c r="K324" s="144">
        <v>4.3625846013606298</v>
      </c>
      <c r="L324" s="1848">
        <v>2.24442456709559</v>
      </c>
      <c r="M324" s="629">
        <v>2.4124562737452901</v>
      </c>
      <c r="N324" s="1302">
        <v>1.8399265294223901</v>
      </c>
      <c r="O324" s="1288">
        <v>2.3500535763140502</v>
      </c>
      <c r="P324" s="746">
        <v>2.6493181391134302</v>
      </c>
      <c r="Q324" s="2167">
        <v>2.58454806980231</v>
      </c>
      <c r="R324" s="1289">
        <v>1.82944689436248</v>
      </c>
      <c r="S324" s="555">
        <v>1.8881074630258401</v>
      </c>
      <c r="T324" s="1290">
        <v>2.1710684357611201</v>
      </c>
    </row>
    <row r="325" spans="1:20">
      <c r="A325" t="s">
        <v>1004</v>
      </c>
      <c r="B325" s="6" t="str">
        <f>HYPERLINK("http://www.ncbi.nlm.nih.gov/gene/100008567", "100008567")</f>
        <v>100008567</v>
      </c>
      <c r="C325" s="6" t="str">
        <f>HYPERLINK("http://www.ncbi.nlm.nih.gov/gene/", "")</f>
        <v/>
      </c>
      <c r="D325" t="str">
        <f>"Gm14964"</f>
        <v>Gm14964</v>
      </c>
      <c r="E325" t="s">
        <v>1005</v>
      </c>
      <c r="H325" s="517">
        <v>3</v>
      </c>
      <c r="I325" s="441">
        <v>6.6459649382820896</v>
      </c>
      <c r="J325" s="201">
        <v>6.8577895275840204</v>
      </c>
      <c r="K325" s="22">
        <v>7.1993760218717497</v>
      </c>
      <c r="L325" s="1861">
        <v>5.3342899459396103</v>
      </c>
      <c r="M325" s="1251">
        <v>5.9729063073733597</v>
      </c>
      <c r="N325" s="729">
        <v>5.3221938260855</v>
      </c>
      <c r="O325" s="1172">
        <v>5.5889549151225904</v>
      </c>
      <c r="P325" s="1251">
        <v>5.9789262512121502</v>
      </c>
      <c r="Q325" s="2225">
        <v>5.7043468808223103</v>
      </c>
      <c r="R325" s="532">
        <v>5.58478452196006</v>
      </c>
      <c r="S325" s="1087">
        <v>5.3423147225763499</v>
      </c>
      <c r="T325" s="556">
        <v>5.4414445553292996</v>
      </c>
    </row>
    <row r="326" spans="1:20">
      <c r="A326" t="s">
        <v>1006</v>
      </c>
      <c r="B326" s="6" t="str">
        <f>HYPERLINK("http://www.ncbi.nlm.nih.gov/gene/240753", "240753")</f>
        <v>240753</v>
      </c>
      <c r="C326" s="6" t="str">
        <f>HYPERLINK("http://www.ncbi.nlm.nih.gov/gene/", "")</f>
        <v/>
      </c>
      <c r="D326" t="str">
        <f>"Plekha6"</f>
        <v>Plekha6</v>
      </c>
      <c r="E326" t="s">
        <v>1007</v>
      </c>
      <c r="F326" t="s">
        <v>1008</v>
      </c>
      <c r="H326" s="517">
        <v>3</v>
      </c>
      <c r="I326" s="234">
        <v>5.4746308203999199</v>
      </c>
      <c r="J326" s="171">
        <v>5.2522472367207396</v>
      </c>
      <c r="K326" s="191">
        <v>5.4395514256893902</v>
      </c>
      <c r="L326" s="2117">
        <v>3.9125502215669301</v>
      </c>
      <c r="M326" s="906">
        <v>4.5717167655534503</v>
      </c>
      <c r="N326" s="869">
        <v>4.5926001121918096</v>
      </c>
      <c r="O326" s="1292">
        <v>5.0642915371393604</v>
      </c>
      <c r="P326" s="830">
        <v>4.6919912598339302</v>
      </c>
      <c r="Q326" s="2096">
        <v>4.8070368018901304</v>
      </c>
      <c r="R326" s="1281">
        <v>4.2480478968679698</v>
      </c>
      <c r="S326" s="1167">
        <v>4.1738242185405303</v>
      </c>
      <c r="T326" s="1293">
        <v>4.3190775150927099</v>
      </c>
    </row>
    <row r="327" spans="1:20">
      <c r="A327" t="s">
        <v>1009</v>
      </c>
      <c r="B327" s="6" t="str">
        <f>HYPERLINK("http://www.ncbi.nlm.nih.gov/gene/20200", "20200")</f>
        <v>20200</v>
      </c>
      <c r="C327" s="6" t="str">
        <f>HYPERLINK("http://www.ncbi.nlm.nih.gov/gene/6277", "6277")</f>
        <v>6277</v>
      </c>
      <c r="D327" t="str">
        <f>"S100a6"</f>
        <v>S100a6</v>
      </c>
      <c r="E327" t="s">
        <v>1010</v>
      </c>
      <c r="F327" t="s">
        <v>1011</v>
      </c>
      <c r="H327" s="517">
        <v>3</v>
      </c>
      <c r="I327" s="116">
        <v>5.4058709247003396</v>
      </c>
      <c r="J327" s="297">
        <v>5.2067863762313804</v>
      </c>
      <c r="K327" s="137">
        <v>5.41671297320765</v>
      </c>
      <c r="L327" s="1911">
        <v>4.0108368639748102</v>
      </c>
      <c r="M327" s="583">
        <v>4.3578486173699904</v>
      </c>
      <c r="N327" s="1439">
        <v>4.1361070587622297</v>
      </c>
      <c r="O327" s="1294">
        <v>5.0531008870216896</v>
      </c>
      <c r="P327" s="869">
        <v>4.5199910266889196</v>
      </c>
      <c r="Q327" s="2226">
        <v>4.6104240801544396</v>
      </c>
      <c r="R327" s="538">
        <v>4.3394964628791399</v>
      </c>
      <c r="S327" s="622">
        <v>4.3270430735998797</v>
      </c>
      <c r="T327" s="1295">
        <v>4.2295087015391104</v>
      </c>
    </row>
    <row r="328" spans="1:20">
      <c r="A328" t="s">
        <v>1012</v>
      </c>
      <c r="B328" s="6" t="str">
        <f>HYPERLINK("http://www.ncbi.nlm.nih.gov/gene/545156", "545156")</f>
        <v>545156</v>
      </c>
      <c r="C328" s="6" t="str">
        <f>HYPERLINK("http://www.ncbi.nlm.nih.gov/gene/8997", "8997")</f>
        <v>8997</v>
      </c>
      <c r="D328" t="str">
        <f>"Kalrn"</f>
        <v>Kalrn</v>
      </c>
      <c r="E328" t="s">
        <v>1013</v>
      </c>
      <c r="F328" t="s">
        <v>1014</v>
      </c>
      <c r="H328" s="517">
        <v>3</v>
      </c>
      <c r="I328" s="366">
        <v>6.1943639535211297</v>
      </c>
      <c r="J328" s="167">
        <v>6.1541944418967702</v>
      </c>
      <c r="K328" s="279">
        <v>6.1728555182280997</v>
      </c>
      <c r="L328" s="2227">
        <v>5.0127771072132496</v>
      </c>
      <c r="M328" s="1174">
        <v>5.1217353546687798</v>
      </c>
      <c r="N328" s="636">
        <v>5.3329094289116297</v>
      </c>
      <c r="O328" s="1099">
        <v>5.6080327013644196</v>
      </c>
      <c r="P328" s="1296">
        <v>5.5390151454211196</v>
      </c>
      <c r="Q328" s="1962">
        <v>5.8794751430958696</v>
      </c>
      <c r="R328" s="654">
        <v>5.4502083405442896</v>
      </c>
      <c r="S328" s="1188">
        <v>5.1531871954825696</v>
      </c>
      <c r="T328" s="860">
        <v>5.1615355245755303</v>
      </c>
    </row>
    <row r="329" spans="1:20">
      <c r="A329" t="s">
        <v>1015</v>
      </c>
      <c r="B329" s="6" t="str">
        <f>HYPERLINK("http://www.ncbi.nlm.nih.gov/gene/109700", "109700")</f>
        <v>109700</v>
      </c>
      <c r="C329" s="6" t="str">
        <f>HYPERLINK("http://www.ncbi.nlm.nih.gov/gene/3672", "3672")</f>
        <v>3672</v>
      </c>
      <c r="D329" t="str">
        <f>"Itga1"</f>
        <v>Itga1</v>
      </c>
      <c r="E329" t="s">
        <v>1016</v>
      </c>
      <c r="F329" t="s">
        <v>1017</v>
      </c>
      <c r="G329" t="s">
        <v>1034</v>
      </c>
      <c r="H329" s="517">
        <v>3</v>
      </c>
      <c r="I329" s="193">
        <v>6.4234066654711901</v>
      </c>
      <c r="J329" s="313">
        <v>6.2559553846439</v>
      </c>
      <c r="K329" s="115">
        <v>6.5165924182449304</v>
      </c>
      <c r="L329" s="1873">
        <v>5.0097122682554902</v>
      </c>
      <c r="M329" s="1340">
        <v>5.0407683140192399</v>
      </c>
      <c r="N329" s="592">
        <v>5.2557975186178396</v>
      </c>
      <c r="O329" s="965">
        <v>5.62310491600861</v>
      </c>
      <c r="P329" s="529">
        <v>5.3656141451662203</v>
      </c>
      <c r="Q329" s="2228">
        <v>5.6280802774552301</v>
      </c>
      <c r="R329" s="1223">
        <v>5.1503409515712297</v>
      </c>
      <c r="S329" s="891">
        <v>5.1893239699145903</v>
      </c>
      <c r="T329" s="1298">
        <v>4.9909181463454599</v>
      </c>
    </row>
    <row r="330" spans="1:20">
      <c r="A330" t="s">
        <v>1035</v>
      </c>
      <c r="B330" s="6" t="str">
        <f>HYPERLINK("http://www.ncbi.nlm.nih.gov/gene/233332", "233332")</f>
        <v>233332</v>
      </c>
      <c r="C330" s="6" t="str">
        <f>HYPERLINK("http://www.ncbi.nlm.nih.gov/gene/170691", "170691")</f>
        <v>170691</v>
      </c>
      <c r="D330" t="str">
        <f>"Adamts17"</f>
        <v>Adamts17</v>
      </c>
      <c r="E330" t="s">
        <v>1036</v>
      </c>
      <c r="F330" t="s">
        <v>1037</v>
      </c>
      <c r="H330" s="517">
        <v>3</v>
      </c>
      <c r="I330" s="200">
        <v>7.49856985369117</v>
      </c>
      <c r="J330" s="86">
        <v>7.1036529424684103</v>
      </c>
      <c r="K330" s="116">
        <v>7.3147949214663601</v>
      </c>
      <c r="L330" s="1958">
        <v>5.6749684683427901</v>
      </c>
      <c r="M330" s="566">
        <v>5.7158180344143101</v>
      </c>
      <c r="N330" s="891">
        <v>5.8222739594043098</v>
      </c>
      <c r="O330" s="1239">
        <v>6.2434541408710098</v>
      </c>
      <c r="P330" s="942">
        <v>6.3223515655017897</v>
      </c>
      <c r="Q330" s="2229">
        <v>6.2912090497548103</v>
      </c>
      <c r="R330" s="662">
        <v>5.8309865923720201</v>
      </c>
      <c r="S330" s="1073">
        <v>5.5631968176571904</v>
      </c>
      <c r="T330" s="1299">
        <v>5.6024453072425304</v>
      </c>
    </row>
    <row r="331" spans="1:20">
      <c r="A331" t="s">
        <v>1038</v>
      </c>
      <c r="B331" s="6" t="str">
        <f>HYPERLINK("http://www.ncbi.nlm.nih.gov/gene/208777", "208777")</f>
        <v>208777</v>
      </c>
      <c r="C331" s="6" t="str">
        <f>HYPERLINK("http://www.ncbi.nlm.nih.gov/gene/25992", "25992")</f>
        <v>25992</v>
      </c>
      <c r="D331" t="str">
        <f>"Sned1"</f>
        <v>Sned1</v>
      </c>
      <c r="E331" t="s">
        <v>1039</v>
      </c>
      <c r="F331" t="s">
        <v>1018</v>
      </c>
      <c r="H331" s="517">
        <v>3</v>
      </c>
      <c r="I331" s="161">
        <v>7.6979091236383503</v>
      </c>
      <c r="J331" s="178">
        <v>7.6362279882259099</v>
      </c>
      <c r="K331" s="108">
        <v>7.9197954208527204</v>
      </c>
      <c r="L331" s="1942">
        <v>5.5338257602462102</v>
      </c>
      <c r="M331" s="1037">
        <v>5.6731243168331904</v>
      </c>
      <c r="N331" s="992">
        <v>5.5655728712627797</v>
      </c>
      <c r="O331" s="1300">
        <v>6.6761241248156198</v>
      </c>
      <c r="P331" s="1301">
        <v>6.7084841883798001</v>
      </c>
      <c r="Q331" s="2230">
        <v>6.7658574402210396</v>
      </c>
      <c r="R331" s="1181">
        <v>5.6348106999640297</v>
      </c>
      <c r="S331" s="1302">
        <v>5.4603152801841697</v>
      </c>
      <c r="T331" s="1303">
        <v>5.3660655372913597</v>
      </c>
    </row>
    <row r="332" spans="1:20">
      <c r="A332" t="s">
        <v>1019</v>
      </c>
      <c r="B332" s="6" t="str">
        <f>HYPERLINK("http://www.ncbi.nlm.nih.gov/gene/81907", "81907")</f>
        <v>81907</v>
      </c>
      <c r="C332" s="6" t="str">
        <f>HYPERLINK("http://www.ncbi.nlm.nih.gov/gene/66000", "66000")</f>
        <v>66000</v>
      </c>
      <c r="D332" t="str">
        <f>"Tmem108"</f>
        <v>Tmem108</v>
      </c>
      <c r="E332" t="s">
        <v>1020</v>
      </c>
      <c r="F332" t="s">
        <v>37</v>
      </c>
      <c r="H332" s="517">
        <v>3</v>
      </c>
      <c r="I332" s="264">
        <v>7.0329160119454901</v>
      </c>
      <c r="J332" s="77">
        <v>6.9061100386653296</v>
      </c>
      <c r="K332" s="216">
        <v>7.1243733615317799</v>
      </c>
      <c r="L332" s="1873">
        <v>4.6950074095665197</v>
      </c>
      <c r="M332" s="876">
        <v>4.8051283797307898</v>
      </c>
      <c r="N332" s="1109">
        <v>4.8213414596419</v>
      </c>
      <c r="O332" s="1263">
        <v>5.9645010752039997</v>
      </c>
      <c r="P332" s="1126">
        <v>5.8942799149262601</v>
      </c>
      <c r="Q332" s="2196">
        <v>5.83123577455821</v>
      </c>
      <c r="R332" s="537">
        <v>4.9548432769648301</v>
      </c>
      <c r="S332" s="1167">
        <v>4.5939755513338296</v>
      </c>
      <c r="T332" s="1304">
        <v>4.7607709476808804</v>
      </c>
    </row>
    <row r="333" spans="1:20">
      <c r="A333" t="s">
        <v>1021</v>
      </c>
      <c r="B333" s="6" t="str">
        <f>HYPERLINK("http://www.ncbi.nlm.nih.gov/gene/64297", "64297")</f>
        <v>64297</v>
      </c>
      <c r="C333" s="6" t="str">
        <f>HYPERLINK("http://www.ncbi.nlm.nih.gov/gene/51704", "51704")</f>
        <v>51704</v>
      </c>
      <c r="D333" t="str">
        <f>"Gprc5b"</f>
        <v>Gprc5b</v>
      </c>
      <c r="E333" t="s">
        <v>1022</v>
      </c>
      <c r="F333" t="s">
        <v>1023</v>
      </c>
      <c r="H333" s="517">
        <v>3</v>
      </c>
      <c r="I333" s="178">
        <v>6.6395723861242404</v>
      </c>
      <c r="J333" s="483">
        <v>6.6757935909436901</v>
      </c>
      <c r="K333" s="102">
        <v>6.8045781933296299</v>
      </c>
      <c r="L333" s="1911">
        <v>4.7774150402020998</v>
      </c>
      <c r="M333" s="572">
        <v>5.2281188721681904</v>
      </c>
      <c r="N333" s="572">
        <v>5.2279307004127498</v>
      </c>
      <c r="O333" s="878">
        <v>5.9610253767600696</v>
      </c>
      <c r="P333" s="1305">
        <v>5.9649132920575099</v>
      </c>
      <c r="Q333" s="2231">
        <v>5.9552142376685504</v>
      </c>
      <c r="R333" s="992">
        <v>5.0657018907721998</v>
      </c>
      <c r="S333" s="1306">
        <v>4.9097424387920698</v>
      </c>
      <c r="T333" s="1307">
        <v>5.0848862942622297</v>
      </c>
    </row>
    <row r="334" spans="1:20">
      <c r="A334" t="s">
        <v>1024</v>
      </c>
      <c r="B334" s="6" t="str">
        <f>HYPERLINK("http://www.ncbi.nlm.nih.gov/gene/12628", "12628")</f>
        <v>12628</v>
      </c>
      <c r="C334" s="6" t="str">
        <f>HYPERLINK("http://www.ncbi.nlm.nih.gov/gene/3075", "3075")</f>
        <v>3075</v>
      </c>
      <c r="D334" t="str">
        <f>"Cfh"</f>
        <v>Cfh</v>
      </c>
      <c r="E334" t="s">
        <v>1025</v>
      </c>
      <c r="F334" t="s">
        <v>1026</v>
      </c>
      <c r="G334" t="s">
        <v>1027</v>
      </c>
      <c r="H334" s="517">
        <v>3</v>
      </c>
      <c r="I334" s="280">
        <v>7.1655993106383598</v>
      </c>
      <c r="J334" s="108">
        <v>7.5897033340600997</v>
      </c>
      <c r="K334" s="201">
        <v>7.4043358132932697</v>
      </c>
      <c r="L334" s="2232">
        <v>3.6818172540183798</v>
      </c>
      <c r="M334" s="1087">
        <v>3.5786368506403301</v>
      </c>
      <c r="N334" s="1040">
        <v>3.7222307677279698</v>
      </c>
      <c r="O334" s="1239">
        <v>5.0339550369175496</v>
      </c>
      <c r="P334" s="827">
        <v>5.7281770998902299</v>
      </c>
      <c r="Q334" s="2200">
        <v>5.5110406628819302</v>
      </c>
      <c r="R334" s="1308">
        <v>3.3831511279130799</v>
      </c>
      <c r="S334" s="566">
        <v>3.7895025661125001</v>
      </c>
      <c r="T334" s="877">
        <v>3.75619254012974</v>
      </c>
    </row>
    <row r="335" spans="1:20">
      <c r="A335" t="s">
        <v>1028</v>
      </c>
      <c r="B335" s="6" t="str">
        <f>HYPERLINK("http://www.ncbi.nlm.nih.gov/gene/327766", "327766")</f>
        <v>327766</v>
      </c>
      <c r="C335" s="6" t="str">
        <f>HYPERLINK("http://www.ncbi.nlm.nih.gov/gene/219623", "219623")</f>
        <v>219623</v>
      </c>
      <c r="D335" t="str">
        <f>"Tmem26"</f>
        <v>Tmem26</v>
      </c>
      <c r="E335" t="s">
        <v>1029</v>
      </c>
      <c r="F335" t="s">
        <v>37</v>
      </c>
      <c r="H335" s="517">
        <v>3</v>
      </c>
      <c r="I335" s="184">
        <v>9.3605520167087892</v>
      </c>
      <c r="J335" s="119">
        <v>9.2810361954908895</v>
      </c>
      <c r="K335" s="223">
        <v>9.3199764299499801</v>
      </c>
      <c r="L335" s="2233">
        <v>6.2076387274954898</v>
      </c>
      <c r="M335" s="992">
        <v>6.3524684682703096</v>
      </c>
      <c r="N335" s="1167">
        <v>6.0899378843467504</v>
      </c>
      <c r="O335" s="1309">
        <v>7.9830490433500101</v>
      </c>
      <c r="P335" s="1126">
        <v>7.8461351057878197</v>
      </c>
      <c r="Q335" s="2231">
        <v>7.94180827130893</v>
      </c>
      <c r="R335" s="1193">
        <v>6.2163502812716596</v>
      </c>
      <c r="S335" s="891">
        <v>6.6599450136509004</v>
      </c>
      <c r="T335" s="1310">
        <v>6.3490567682626597</v>
      </c>
    </row>
    <row r="336" spans="1:20">
      <c r="A336" t="s">
        <v>1030</v>
      </c>
      <c r="B336" s="6" t="str">
        <f>HYPERLINK("http://www.ncbi.nlm.nih.gov/gene/13865", "13865")</f>
        <v>13865</v>
      </c>
      <c r="C336" s="6" t="str">
        <f>HYPERLINK("http://www.ncbi.nlm.nih.gov/gene/7025", "7025")</f>
        <v>7025</v>
      </c>
      <c r="D336" t="str">
        <f>"Nr2f1"</f>
        <v>Nr2f1</v>
      </c>
      <c r="E336" t="s">
        <v>1044</v>
      </c>
      <c r="F336" t="s">
        <v>1031</v>
      </c>
      <c r="H336" s="517">
        <v>3</v>
      </c>
      <c r="I336" s="234">
        <v>7.9071886109044804</v>
      </c>
      <c r="J336" s="477">
        <v>7.7890267373103104</v>
      </c>
      <c r="K336" s="196">
        <v>7.9605564195061103</v>
      </c>
      <c r="L336" s="2193">
        <v>4.6574896609195804</v>
      </c>
      <c r="M336" s="1336">
        <v>4.6100176671652804</v>
      </c>
      <c r="N336" s="1087">
        <v>4.6952719613663696</v>
      </c>
      <c r="O336" s="965">
        <v>6.1087463397667099</v>
      </c>
      <c r="P336" s="916">
        <v>6.2022006809264498</v>
      </c>
      <c r="Q336" s="2200">
        <v>6.2963099068145301</v>
      </c>
      <c r="R336" s="566">
        <v>4.8599195274564497</v>
      </c>
      <c r="S336" s="544">
        <v>4.9846389056994802</v>
      </c>
      <c r="T336" s="1311">
        <v>4.6913572226199101</v>
      </c>
    </row>
    <row r="337" spans="1:20">
      <c r="A337" t="s">
        <v>1032</v>
      </c>
      <c r="B337" s="6" t="str">
        <f>HYPERLINK("http://www.ncbi.nlm.nih.gov/gene/77125", "77125")</f>
        <v>77125</v>
      </c>
      <c r="C337" s="6" t="str">
        <f>HYPERLINK("http://www.ncbi.nlm.nih.gov/gene/90865", "90865")</f>
        <v>90865</v>
      </c>
      <c r="D337" t="str">
        <f>"Il33"</f>
        <v>Il33</v>
      </c>
      <c r="E337" t="s">
        <v>1033</v>
      </c>
      <c r="F337" t="s">
        <v>1040</v>
      </c>
      <c r="G337" t="s">
        <v>1041</v>
      </c>
      <c r="H337" s="517">
        <v>3</v>
      </c>
      <c r="I337" s="178">
        <v>7.3458572086501697</v>
      </c>
      <c r="J337" s="86">
        <v>7.2801563234481304</v>
      </c>
      <c r="K337" s="329">
        <v>7.8583162078386399</v>
      </c>
      <c r="L337" s="1945">
        <v>4.0970245946388797</v>
      </c>
      <c r="M337" s="1439">
        <v>4.2136992691570603</v>
      </c>
      <c r="N337" s="1281">
        <v>4.3335748455125396</v>
      </c>
      <c r="O337" s="1300">
        <v>5.9891539997110099</v>
      </c>
      <c r="P337" s="887">
        <v>6.0606381393219602</v>
      </c>
      <c r="Q337" s="2022">
        <v>6.0432968025563598</v>
      </c>
      <c r="R337" s="1191">
        <v>4.3884763905467601</v>
      </c>
      <c r="S337" s="532">
        <v>4.8653331517924903</v>
      </c>
      <c r="T337" s="1310">
        <v>4.4122188655085299</v>
      </c>
    </row>
    <row r="338" spans="1:20">
      <c r="A338" t="s">
        <v>1042</v>
      </c>
      <c r="B338" s="6" t="str">
        <f>HYPERLINK("http://www.ncbi.nlm.nih.gov/gene/19272", "19272")</f>
        <v>19272</v>
      </c>
      <c r="C338" s="6" t="str">
        <f>HYPERLINK("http://www.ncbi.nlm.nih.gov/gene/5796", "5796")</f>
        <v>5796</v>
      </c>
      <c r="D338" t="str">
        <f>"Ptprk"</f>
        <v>Ptprk</v>
      </c>
      <c r="E338" t="s">
        <v>1043</v>
      </c>
      <c r="F338" t="s">
        <v>1045</v>
      </c>
      <c r="H338" s="517">
        <v>3</v>
      </c>
      <c r="I338" s="279">
        <v>8.7168695534610805</v>
      </c>
      <c r="J338" s="371">
        <v>8.66727585629231</v>
      </c>
      <c r="K338" s="78">
        <v>8.5962123406984396</v>
      </c>
      <c r="L338" s="1914">
        <v>7.2269425211789704</v>
      </c>
      <c r="M338" s="997">
        <v>7.2306286556836197</v>
      </c>
      <c r="N338" s="859">
        <v>7.2540159173667202</v>
      </c>
      <c r="O338" s="1312">
        <v>8.0856554289734106</v>
      </c>
      <c r="P338" s="827">
        <v>8.0810279210755098</v>
      </c>
      <c r="Q338" s="1836">
        <v>8.2636880075031307</v>
      </c>
      <c r="R338" s="1073">
        <v>7.14865842309315</v>
      </c>
      <c r="S338" s="561">
        <v>7.3065329809990596</v>
      </c>
      <c r="T338" s="1313">
        <v>7.0133540814452902</v>
      </c>
    </row>
    <row r="339" spans="1:20">
      <c r="A339" t="s">
        <v>1046</v>
      </c>
      <c r="B339" s="6" t="str">
        <f>HYPERLINK("http://www.ncbi.nlm.nih.gov/gene/77446", "77446")</f>
        <v>77446</v>
      </c>
      <c r="C339" s="6" t="str">
        <f>HYPERLINK("http://www.ncbi.nlm.nih.gov/gene/57493", "57493")</f>
        <v>57493</v>
      </c>
      <c r="D339" t="str">
        <f>"Heg1"</f>
        <v>Heg1</v>
      </c>
      <c r="E339" t="s">
        <v>1047</v>
      </c>
      <c r="F339" t="s">
        <v>1048</v>
      </c>
      <c r="H339" s="517">
        <v>3</v>
      </c>
      <c r="I339" s="119">
        <v>6.8949309452040497</v>
      </c>
      <c r="J339" s="358">
        <v>6.7214454876996204</v>
      </c>
      <c r="K339" s="483">
        <v>6.8708046272891501</v>
      </c>
      <c r="L339" s="1861">
        <v>5.3520042467735998</v>
      </c>
      <c r="M339" s="1308">
        <v>5.2716008582941098</v>
      </c>
      <c r="N339" s="579">
        <v>5.6164144532844</v>
      </c>
      <c r="O339" s="1314">
        <v>6.1503663308224503</v>
      </c>
      <c r="P339" s="946">
        <v>6.3815979063580004</v>
      </c>
      <c r="Q339" s="1971">
        <v>6.3979834983687498</v>
      </c>
      <c r="R339" s="537">
        <v>5.5028729180095004</v>
      </c>
      <c r="S339" s="1302">
        <v>5.3124525128823397</v>
      </c>
      <c r="T339" s="1315">
        <v>5.0647257571366397</v>
      </c>
    </row>
    <row r="340" spans="1:20">
      <c r="A340" t="s">
        <v>1049</v>
      </c>
      <c r="B340" s="6" t="str">
        <f>HYPERLINK("http://www.ncbi.nlm.nih.gov/gene/52150", "52150")</f>
        <v>52150</v>
      </c>
      <c r="C340" s="6" t="str">
        <f>HYPERLINK("http://www.ncbi.nlm.nih.gov/gene/9424", "9424")</f>
        <v>9424</v>
      </c>
      <c r="D340" t="str">
        <f>"Kcnk6"</f>
        <v>Kcnk6</v>
      </c>
      <c r="E340" t="s">
        <v>1050</v>
      </c>
      <c r="F340" t="s">
        <v>1051</v>
      </c>
      <c r="H340" s="517">
        <v>3</v>
      </c>
      <c r="I340" s="223">
        <v>5.8752209833058204</v>
      </c>
      <c r="J340" s="496">
        <v>5.7040921255103099</v>
      </c>
      <c r="K340" s="112">
        <v>6.0335696144525999</v>
      </c>
      <c r="L340" s="1846">
        <v>4.8003685696391303</v>
      </c>
      <c r="M340" s="705">
        <v>5.0580930600594902</v>
      </c>
      <c r="N340" s="729">
        <v>4.6802599900848003</v>
      </c>
      <c r="O340" s="1316">
        <v>5.3981466889004004</v>
      </c>
      <c r="P340" s="790">
        <v>5.0526970022052904</v>
      </c>
      <c r="Q340" s="2110">
        <v>5.29586749482608</v>
      </c>
      <c r="R340" s="1289">
        <v>4.64996943130408</v>
      </c>
      <c r="S340" s="1317">
        <v>4.4529362504116898</v>
      </c>
      <c r="T340" s="574">
        <v>4.8281484709012101</v>
      </c>
    </row>
    <row r="341" spans="1:20">
      <c r="A341" t="s">
        <v>1052</v>
      </c>
      <c r="B341" s="6" t="str">
        <f>HYPERLINK("http://www.ncbi.nlm.nih.gov/gene/27206", "27206")</f>
        <v>27206</v>
      </c>
      <c r="C341" s="6" t="str">
        <f>HYPERLINK("http://www.ncbi.nlm.nih.gov/gene/203447", "203447")</f>
        <v>203447</v>
      </c>
      <c r="D341" t="str">
        <f>"Nrk"</f>
        <v>Nrk</v>
      </c>
      <c r="E341" t="s">
        <v>1053</v>
      </c>
      <c r="F341" t="s">
        <v>1055</v>
      </c>
      <c r="H341" s="517">
        <v>3</v>
      </c>
      <c r="I341" s="316">
        <v>8.91745329645053</v>
      </c>
      <c r="J341" s="167">
        <v>8.8509018121007195</v>
      </c>
      <c r="K341" s="371">
        <v>8.8211121547887306</v>
      </c>
      <c r="L341" s="1882">
        <v>7.2229059426156397</v>
      </c>
      <c r="M341" s="572">
        <v>7.0901551687609503</v>
      </c>
      <c r="N341" s="592">
        <v>7.2059495806683298</v>
      </c>
      <c r="O341" s="1318">
        <v>7.9395677934259901</v>
      </c>
      <c r="P341" s="1271">
        <v>7.8948458908609398</v>
      </c>
      <c r="Q341" s="2210">
        <v>8.08779282963512</v>
      </c>
      <c r="R341" s="1319">
        <v>6.6223362953842404</v>
      </c>
      <c r="S341" s="722">
        <v>6.6542575852221999</v>
      </c>
      <c r="T341" s="1320">
        <v>6.5208528632770202</v>
      </c>
    </row>
    <row r="342" spans="1:20">
      <c r="A342" t="s">
        <v>1056</v>
      </c>
      <c r="B342" s="6" t="str">
        <f>HYPERLINK("http://www.ncbi.nlm.nih.gov/gene/68458", "68458")</f>
        <v>68458</v>
      </c>
      <c r="C342" s="6" t="str">
        <f>HYPERLINK("http://www.ncbi.nlm.nih.gov/gene/94274", "94274")</f>
        <v>94274</v>
      </c>
      <c r="D342" t="str">
        <f>"Ppp1r14a"</f>
        <v>Ppp1r14a</v>
      </c>
      <c r="E342" t="s">
        <v>1057</v>
      </c>
      <c r="F342" t="s">
        <v>1058</v>
      </c>
      <c r="G342" t="s">
        <v>159</v>
      </c>
      <c r="H342" s="517">
        <v>3</v>
      </c>
      <c r="I342" s="316">
        <v>6.6548220890155099</v>
      </c>
      <c r="J342" s="85">
        <v>6.5986894180381297</v>
      </c>
      <c r="K342" s="178">
        <v>6.5356288949966004</v>
      </c>
      <c r="L342" s="1891">
        <v>4.8026560235901696</v>
      </c>
      <c r="M342" s="649">
        <v>5.1799097115543304</v>
      </c>
      <c r="N342" s="864">
        <v>4.5703100147517199</v>
      </c>
      <c r="O342" s="894">
        <v>5.7873383549328699</v>
      </c>
      <c r="P342" s="820">
        <v>5.6965250218115902</v>
      </c>
      <c r="Q342" s="2234">
        <v>5.3382629523446603</v>
      </c>
      <c r="R342" s="1167">
        <v>4.3238656108738098</v>
      </c>
      <c r="S342" s="1321">
        <v>4.1957871369544897</v>
      </c>
      <c r="T342" s="1320">
        <v>4.1215282993842104</v>
      </c>
    </row>
    <row r="343" spans="1:20">
      <c r="A343" t="s">
        <v>1059</v>
      </c>
      <c r="B343" s="6" t="str">
        <f>HYPERLINK("http://www.ncbi.nlm.nih.gov/gene/20378", "20378")</f>
        <v>20378</v>
      </c>
      <c r="C343" s="6" t="str">
        <f>HYPERLINK("http://www.ncbi.nlm.nih.gov/gene/2487", "2487")</f>
        <v>2487</v>
      </c>
      <c r="D343" t="str">
        <f>"Frzb"</f>
        <v>Frzb</v>
      </c>
      <c r="E343" t="s">
        <v>1060</v>
      </c>
      <c r="F343" t="s">
        <v>1064</v>
      </c>
      <c r="H343" s="517">
        <v>3</v>
      </c>
      <c r="I343" s="132">
        <v>8.3847732556866799</v>
      </c>
      <c r="J343" s="166">
        <v>8.2366909950062404</v>
      </c>
      <c r="K343" s="316">
        <v>8.2038485086302302</v>
      </c>
      <c r="L343" s="2235">
        <v>6.8007258767491603</v>
      </c>
      <c r="M343" s="662">
        <v>6.5691879645733504</v>
      </c>
      <c r="N343" s="712">
        <v>6.5933025471424198</v>
      </c>
      <c r="O343" s="1322">
        <v>6.9102459329257098</v>
      </c>
      <c r="P343" s="658">
        <v>6.9738409228622897</v>
      </c>
      <c r="Q343" s="2215">
        <v>7.3092841456561501</v>
      </c>
      <c r="R343" s="1323">
        <v>6.1433408490031303</v>
      </c>
      <c r="S343" s="1324">
        <v>6.48549020679366</v>
      </c>
      <c r="T343" s="1325">
        <v>6.0660345796769901</v>
      </c>
    </row>
    <row r="344" spans="1:20">
      <c r="A344" t="s">
        <v>1065</v>
      </c>
      <c r="B344" s="6" t="str">
        <f>HYPERLINK("http://www.ncbi.nlm.nih.gov/gene/320873", "320873")</f>
        <v>320873</v>
      </c>
      <c r="C344" s="6" t="str">
        <f>HYPERLINK("http://www.ncbi.nlm.nih.gov/gene/1008", "1008")</f>
        <v>1008</v>
      </c>
      <c r="D344" t="str">
        <f>"Cdh10"</f>
        <v>Cdh10</v>
      </c>
      <c r="E344" t="s">
        <v>1066</v>
      </c>
      <c r="F344" t="s">
        <v>1067</v>
      </c>
      <c r="H344" s="517">
        <v>3</v>
      </c>
      <c r="I344" s="124">
        <v>9.6279370574933107</v>
      </c>
      <c r="J344" s="137">
        <v>9.5500090007383491</v>
      </c>
      <c r="K344" s="267">
        <v>9.6132454043667899</v>
      </c>
      <c r="L344" s="1850">
        <v>4.7276954891600704</v>
      </c>
      <c r="M344" s="636">
        <v>4.8787633427226504</v>
      </c>
      <c r="N344" s="600">
        <v>5.1687945217353999</v>
      </c>
      <c r="O344" s="1230">
        <v>5.5465127332322997</v>
      </c>
      <c r="P344" s="1326">
        <v>5.6171955444361403</v>
      </c>
      <c r="Q344" s="2209">
        <v>5.9782434090188898</v>
      </c>
      <c r="R344" s="1327">
        <v>3.35428595572272</v>
      </c>
      <c r="S344" s="688">
        <v>4.4389516524075399</v>
      </c>
      <c r="T344" s="1328">
        <v>4.21262722334406</v>
      </c>
    </row>
    <row r="345" spans="1:20">
      <c r="A345" t="s">
        <v>1068</v>
      </c>
      <c r="B345" s="6" t="str">
        <f>HYPERLINK("http://www.ncbi.nlm.nih.gov/gene/320692", "320692")</f>
        <v>320692</v>
      </c>
      <c r="C345" s="6" t="str">
        <f>HYPERLINK("http://www.ncbi.nlm.nih.gov/gene/", "")</f>
        <v/>
      </c>
      <c r="D345" t="str">
        <f>"9430037G07Rik"</f>
        <v>9430037G07Rik</v>
      </c>
      <c r="E345" t="s">
        <v>1069</v>
      </c>
      <c r="H345" s="517">
        <v>3</v>
      </c>
      <c r="I345" s="196">
        <v>5.3482299904771704</v>
      </c>
      <c r="J345" s="316">
        <v>5.2540944461263104</v>
      </c>
      <c r="K345" s="143">
        <v>5.3704974715341498</v>
      </c>
      <c r="L345" s="1958">
        <v>3.2609895565878499</v>
      </c>
      <c r="M345" s="738">
        <v>3.7112697013368501</v>
      </c>
      <c r="N345" s="712">
        <v>3.4912032055270599</v>
      </c>
      <c r="O345" s="1329">
        <v>3.8730826144678598</v>
      </c>
      <c r="P345" s="778">
        <v>4.0975081345389004</v>
      </c>
      <c r="Q345" s="2012">
        <v>4.2207866226955604</v>
      </c>
      <c r="R345" s="1330">
        <v>3.0714626381813401</v>
      </c>
      <c r="S345" s="1323">
        <v>2.99604007963694</v>
      </c>
      <c r="T345" s="1310">
        <v>3.24989748566869</v>
      </c>
    </row>
    <row r="346" spans="1:20">
      <c r="A346" t="s">
        <v>1070</v>
      </c>
      <c r="B346" s="6" t="str">
        <f>HYPERLINK("http://www.ncbi.nlm.nih.gov/gene/12722", "12722")</f>
        <v>12722</v>
      </c>
      <c r="C346" s="6" t="str">
        <f>HYPERLINK("http://www.ncbi.nlm.nih.gov/gene/", "")</f>
        <v/>
      </c>
      <c r="D346" t="str">
        <f>"Clca1"</f>
        <v>Clca1</v>
      </c>
      <c r="E346" t="s">
        <v>1071</v>
      </c>
      <c r="F346" t="s">
        <v>1054</v>
      </c>
      <c r="G346" t="s">
        <v>1075</v>
      </c>
      <c r="H346" s="517">
        <v>3</v>
      </c>
      <c r="I346" s="208">
        <v>6.5991983202179796</v>
      </c>
      <c r="J346" s="124">
        <v>6.7426549997020997</v>
      </c>
      <c r="K346" s="331">
        <v>6.5174553049375801</v>
      </c>
      <c r="L346" s="1863">
        <v>2.0157188047851302</v>
      </c>
      <c r="M346" s="1343">
        <v>2.6016789756621601</v>
      </c>
      <c r="N346" s="891">
        <v>2.5452903473379598</v>
      </c>
      <c r="O346" s="1331">
        <v>4.1970134041598701</v>
      </c>
      <c r="P346" s="790">
        <v>3.3504205417482602</v>
      </c>
      <c r="Q346" s="2116">
        <v>3.92496493642652</v>
      </c>
      <c r="R346" s="1332">
        <v>1.9378435072025499</v>
      </c>
      <c r="S346" s="876">
        <v>2.1422720069346801</v>
      </c>
      <c r="T346" s="1333">
        <v>1.9656971791058699</v>
      </c>
    </row>
    <row r="347" spans="1:20">
      <c r="A347" t="s">
        <v>1076</v>
      </c>
      <c r="B347" s="6" t="str">
        <f>HYPERLINK("http://www.ncbi.nlm.nih.gov/gene/16449", "16449")</f>
        <v>16449</v>
      </c>
      <c r="C347" s="6" t="str">
        <f>HYPERLINK("http://www.ncbi.nlm.nih.gov/gene/182", "182")</f>
        <v>182</v>
      </c>
      <c r="D347" t="str">
        <f>"Jag1"</f>
        <v>Jag1</v>
      </c>
      <c r="E347" t="s">
        <v>1077</v>
      </c>
      <c r="F347" t="s">
        <v>1078</v>
      </c>
      <c r="G347" t="s">
        <v>572</v>
      </c>
      <c r="H347" s="517">
        <v>3</v>
      </c>
      <c r="I347" s="463">
        <v>8.6881118350135598</v>
      </c>
      <c r="J347" s="196">
        <v>8.5005278708846799</v>
      </c>
      <c r="K347" s="477">
        <v>8.4047551566626009</v>
      </c>
      <c r="L347" s="1861">
        <v>6.6258563905187398</v>
      </c>
      <c r="M347" s="595">
        <v>6.9946194828152501</v>
      </c>
      <c r="N347" s="663">
        <v>6.82863098951713</v>
      </c>
      <c r="O347" s="1239">
        <v>7.3203752661087202</v>
      </c>
      <c r="P347" s="779">
        <v>7.2320687620081197</v>
      </c>
      <c r="Q347" s="2167">
        <v>7.24437367803427</v>
      </c>
      <c r="R347" s="1193">
        <v>6.5906681253179702</v>
      </c>
      <c r="S347" s="864">
        <v>6.7128004106166497</v>
      </c>
      <c r="T347" s="709">
        <v>6.7114653677733003</v>
      </c>
    </row>
    <row r="348" spans="1:20">
      <c r="A348" t="s">
        <v>1079</v>
      </c>
      <c r="B348" s="6" t="str">
        <f>HYPERLINK("http://www.ncbi.nlm.nih.gov/gene/66938", "66938")</f>
        <v>66938</v>
      </c>
      <c r="C348" s="6" t="str">
        <f>HYPERLINK("http://www.ncbi.nlm.nih.gov/gene/79729", "79729")</f>
        <v>79729</v>
      </c>
      <c r="D348" t="str">
        <f>"1700029G01Rik"</f>
        <v>1700029G01Rik</v>
      </c>
      <c r="E348" t="s">
        <v>1061</v>
      </c>
      <c r="F348" t="s">
        <v>90</v>
      </c>
      <c r="H348" s="517">
        <v>3</v>
      </c>
      <c r="I348" s="166">
        <v>5.9403129075102603</v>
      </c>
      <c r="J348" s="271">
        <v>5.8475397099139403</v>
      </c>
      <c r="K348" s="113">
        <v>6.0354035319637802</v>
      </c>
      <c r="L348" s="2236">
        <v>5.0096769824693101</v>
      </c>
      <c r="M348" s="1289">
        <v>4.6349383932290902</v>
      </c>
      <c r="N348" s="560">
        <v>4.9388152443970403</v>
      </c>
      <c r="O348" s="1334">
        <v>5.1467309693413004</v>
      </c>
      <c r="P348" s="550">
        <v>5.0353625363930998</v>
      </c>
      <c r="Q348" s="2016">
        <v>5.4505769032381801</v>
      </c>
      <c r="R348" s="863">
        <v>4.5152433156474601</v>
      </c>
      <c r="S348" s="1153">
        <v>4.6169461039993402</v>
      </c>
      <c r="T348" s="1295">
        <v>4.7237395613551696</v>
      </c>
    </row>
    <row r="349" spans="1:20">
      <c r="A349" t="s">
        <v>1062</v>
      </c>
      <c r="B349" s="6" t="str">
        <f>HYPERLINK("http://www.ncbi.nlm.nih.gov/gene/225518", "225518")</f>
        <v>225518</v>
      </c>
      <c r="C349" s="6" t="str">
        <f>HYPERLINK("http://www.ncbi.nlm.nih.gov/gene/93166", "93166")</f>
        <v>93166</v>
      </c>
      <c r="D349" t="str">
        <f>"Prdm6"</f>
        <v>Prdm6</v>
      </c>
      <c r="E349" t="s">
        <v>1063</v>
      </c>
      <c r="F349" t="s">
        <v>1072</v>
      </c>
      <c r="H349" s="517">
        <v>3</v>
      </c>
      <c r="I349" s="208">
        <v>8.0987509093041208</v>
      </c>
      <c r="J349" s="196">
        <v>8.1063743690688206</v>
      </c>
      <c r="K349" s="234">
        <v>8.0639524515174106</v>
      </c>
      <c r="L349" s="2237">
        <v>5.7681157084803303</v>
      </c>
      <c r="M349" s="537">
        <v>5.5076394430832103</v>
      </c>
      <c r="N349" s="734">
        <v>5.5269939762845697</v>
      </c>
      <c r="O349" s="1335">
        <v>6.3547338889564902</v>
      </c>
      <c r="P349" s="836">
        <v>6.3961021966713698</v>
      </c>
      <c r="Q349" s="2205">
        <v>6.4759519888372203</v>
      </c>
      <c r="R349" s="1336">
        <v>5.1816544401454996</v>
      </c>
      <c r="S349" s="1337">
        <v>5.0880101139277603</v>
      </c>
      <c r="T349" s="1338">
        <v>5.0862390027602498</v>
      </c>
    </row>
    <row r="350" spans="1:20">
      <c r="A350" t="s">
        <v>1073</v>
      </c>
      <c r="B350" s="6" t="str">
        <f>HYPERLINK("http://www.ncbi.nlm.nih.gov/gene/13649", "13649")</f>
        <v>13649</v>
      </c>
      <c r="C350" s="6" t="str">
        <f>HYPERLINK("http://www.ncbi.nlm.nih.gov/gene/1956", "1956")</f>
        <v>1956</v>
      </c>
      <c r="D350" t="str">
        <f>"Egfr"</f>
        <v>Egfr</v>
      </c>
      <c r="E350" t="s">
        <v>1074</v>
      </c>
      <c r="F350" t="s">
        <v>1080</v>
      </c>
      <c r="G350" t="s">
        <v>1081</v>
      </c>
      <c r="H350" s="517">
        <v>3</v>
      </c>
      <c r="I350" s="234">
        <v>8.7555970600083093</v>
      </c>
      <c r="J350" s="331">
        <v>8.7236666121925808</v>
      </c>
      <c r="K350" s="116">
        <v>8.8225172668541507</v>
      </c>
      <c r="L350" s="2146">
        <v>5.03725164417218</v>
      </c>
      <c r="M350" s="592">
        <v>5.3389682830711003</v>
      </c>
      <c r="N350" s="1037">
        <v>4.9415053604549204</v>
      </c>
      <c r="O350" s="1339">
        <v>6.2867518793559398</v>
      </c>
      <c r="P350" s="1226">
        <v>6.2441980538003499</v>
      </c>
      <c r="Q350" s="2200">
        <v>6.6944426568530604</v>
      </c>
      <c r="R350" s="1340">
        <v>4.6817871800785102</v>
      </c>
      <c r="S350" s="1167">
        <v>4.3955043789390196</v>
      </c>
      <c r="T350" s="1338">
        <v>4.42476198174265</v>
      </c>
    </row>
    <row r="351" spans="1:20">
      <c r="A351" t="s">
        <v>1082</v>
      </c>
      <c r="B351" s="6" t="str">
        <f>HYPERLINK("http://www.ncbi.nlm.nih.gov/gene/22402", "22402")</f>
        <v>22402</v>
      </c>
      <c r="C351" s="6" t="str">
        <f>HYPERLINK("http://www.ncbi.nlm.nih.gov/gene/8840", "8840")</f>
        <v>8840</v>
      </c>
      <c r="D351" t="str">
        <f>"Wisp1"</f>
        <v>Wisp1</v>
      </c>
      <c r="E351" t="s">
        <v>1083</v>
      </c>
      <c r="F351" t="s">
        <v>1084</v>
      </c>
      <c r="H351" s="517">
        <v>3</v>
      </c>
      <c r="I351" s="264">
        <v>7.1191413695993697</v>
      </c>
      <c r="J351" s="85">
        <v>7.0552450564194498</v>
      </c>
      <c r="K351" s="203">
        <v>7.3239976452074096</v>
      </c>
      <c r="L351" s="1909">
        <v>5.5399826439639099</v>
      </c>
      <c r="M351" s="1007">
        <v>5.3114143286815096</v>
      </c>
      <c r="N351" s="1281">
        <v>5.2097652449033403</v>
      </c>
      <c r="O351" s="1127">
        <v>6.09159513497747</v>
      </c>
      <c r="P351" s="720">
        <v>5.9831516555261004</v>
      </c>
      <c r="Q351" s="2197">
        <v>6.0519983575382401</v>
      </c>
      <c r="R351" s="1336">
        <v>5.1737306394290998</v>
      </c>
      <c r="S351" s="1181">
        <v>5.31785661901921</v>
      </c>
      <c r="T351" s="1341">
        <v>5.1767662389987299</v>
      </c>
    </row>
    <row r="352" spans="1:20">
      <c r="A352" t="s">
        <v>1085</v>
      </c>
      <c r="B352" s="6" t="str">
        <f>HYPERLINK("http://www.ncbi.nlm.nih.gov/gene/230379", "230379")</f>
        <v>230379</v>
      </c>
      <c r="C352" s="6" t="str">
        <f>HYPERLINK("http://www.ncbi.nlm.nih.gov/gene/340485", "340485")</f>
        <v>340485</v>
      </c>
      <c r="D352" t="str">
        <f>"Acer2"</f>
        <v>Acer2</v>
      </c>
      <c r="E352" t="s">
        <v>1086</v>
      </c>
      <c r="F352" t="s">
        <v>1087</v>
      </c>
      <c r="G352" t="s">
        <v>1088</v>
      </c>
      <c r="H352" s="517">
        <v>3</v>
      </c>
      <c r="I352" s="174">
        <v>6.0068074480978</v>
      </c>
      <c r="J352" s="196">
        <v>6.1787445410681201</v>
      </c>
      <c r="K352" s="143">
        <v>6.19569370308455</v>
      </c>
      <c r="L352" s="1955">
        <v>4.9365352283902801</v>
      </c>
      <c r="M352" s="1324">
        <v>4.7858636346343797</v>
      </c>
      <c r="N352" s="663">
        <v>4.8301241276265099</v>
      </c>
      <c r="O352" s="954">
        <v>5.4477967436110397</v>
      </c>
      <c r="P352" s="528">
        <v>5.18407336457825</v>
      </c>
      <c r="Q352" s="2214">
        <v>5.4555628315859002</v>
      </c>
      <c r="R352" s="1017">
        <v>4.4955470671822901</v>
      </c>
      <c r="S352" s="1342">
        <v>4.5826884731579298</v>
      </c>
      <c r="T352" s="1341">
        <v>4.6373069455212201</v>
      </c>
    </row>
    <row r="353" spans="1:20">
      <c r="A353" t="s">
        <v>1089</v>
      </c>
      <c r="B353" s="6" t="str">
        <f>HYPERLINK("http://www.ncbi.nlm.nih.gov/gene/26875", "26875")</f>
        <v>26875</v>
      </c>
      <c r="C353" s="6" t="str">
        <f>HYPERLINK("http://www.ncbi.nlm.nih.gov/gene/27445", "27445")</f>
        <v>27445</v>
      </c>
      <c r="D353" t="str">
        <f>"Pclo"</f>
        <v>Pclo</v>
      </c>
      <c r="E353" t="s">
        <v>1090</v>
      </c>
      <c r="F353" t="s">
        <v>1091</v>
      </c>
      <c r="H353" s="517">
        <v>3</v>
      </c>
      <c r="I353" s="186">
        <v>3.9780519635432499</v>
      </c>
      <c r="J353" s="22">
        <v>4.2855960372027297</v>
      </c>
      <c r="K353" s="457">
        <v>3.8925455206786599</v>
      </c>
      <c r="L353" s="2166">
        <v>3.12539370674157</v>
      </c>
      <c r="M353" s="573">
        <v>2.9264592176250699</v>
      </c>
      <c r="N353" s="680">
        <v>3.0853451494101001</v>
      </c>
      <c r="O353" s="1046">
        <v>2.9751289830269099</v>
      </c>
      <c r="P353" s="573">
        <v>2.9296561516856698</v>
      </c>
      <c r="Q353" s="2101">
        <v>3.0921823993081801</v>
      </c>
      <c r="R353" s="1228">
        <v>3.1947318419329398</v>
      </c>
      <c r="S353" s="992">
        <v>2.8518634509866301</v>
      </c>
      <c r="T353" s="1293">
        <v>2.8909944006039998</v>
      </c>
    </row>
    <row r="354" spans="1:20">
      <c r="A354" t="s">
        <v>1092</v>
      </c>
      <c r="B354" s="6" t="str">
        <f>HYPERLINK("http://www.ncbi.nlm.nih.gov/gene/12121", "12121")</f>
        <v>12121</v>
      </c>
      <c r="C354" s="6" t="str">
        <f>HYPERLINK("http://www.ncbi.nlm.nih.gov/gene/636", "636")</f>
        <v>636</v>
      </c>
      <c r="D354" t="str">
        <f>"Bicd1"</f>
        <v>Bicd1</v>
      </c>
      <c r="E354" t="s">
        <v>1093</v>
      </c>
      <c r="F354" t="s">
        <v>1094</v>
      </c>
      <c r="H354" s="517">
        <v>3</v>
      </c>
      <c r="I354" s="201">
        <v>5.5728845030254499</v>
      </c>
      <c r="J354" s="112">
        <v>5.7306032860370699</v>
      </c>
      <c r="K354" s="118">
        <v>5.6875155371693902</v>
      </c>
      <c r="L354" s="1882">
        <v>4.3463070931807</v>
      </c>
      <c r="M354" s="1340">
        <v>4.08940178865927</v>
      </c>
      <c r="N354" s="683">
        <v>4.4402655737421304</v>
      </c>
      <c r="O354" s="1069">
        <v>4.24011210324002</v>
      </c>
      <c r="P354" s="641">
        <v>4.1718892220572696</v>
      </c>
      <c r="Q354" s="2191">
        <v>4.6056806874498699</v>
      </c>
      <c r="R354" s="705">
        <v>4.5306824056478501</v>
      </c>
      <c r="S354" s="1007">
        <v>4.1549267287635701</v>
      </c>
      <c r="T354" s="545">
        <v>4.2141182126411696</v>
      </c>
    </row>
    <row r="355" spans="1:20">
      <c r="A355" t="s">
        <v>1095</v>
      </c>
      <c r="B355" s="6" t="str">
        <f>HYPERLINK("http://www.ncbi.nlm.nih.gov/gene/229687", "229687")</f>
        <v>229687</v>
      </c>
      <c r="C355" s="6" t="str">
        <f>HYPERLINK("http://www.ncbi.nlm.nih.gov/gene/", "")</f>
        <v/>
      </c>
      <c r="D355" t="str">
        <f>"Chi3l7"</f>
        <v>Chi3l7</v>
      </c>
      <c r="E355" t="s">
        <v>1096</v>
      </c>
      <c r="F355" t="s">
        <v>90</v>
      </c>
      <c r="H355" s="517">
        <v>3</v>
      </c>
      <c r="I355" s="223">
        <v>4.0217691660977097</v>
      </c>
      <c r="J355" s="316">
        <v>4.0286944733528696</v>
      </c>
      <c r="K355" s="22">
        <v>4.6559478113369002</v>
      </c>
      <c r="L355" s="1876">
        <v>2.3024908626234701</v>
      </c>
      <c r="M355" s="892">
        <v>2.2312812972299501</v>
      </c>
      <c r="N355" s="622">
        <v>2.0094884395709398</v>
      </c>
      <c r="O355" s="1202">
        <v>1.8049005892749499</v>
      </c>
      <c r="P355" s="669">
        <v>2.17116279887943</v>
      </c>
      <c r="Q355" s="2238">
        <v>2.03260506725193</v>
      </c>
      <c r="R355" s="891">
        <v>2.00075449663463</v>
      </c>
      <c r="S355" s="662">
        <v>2.0166248711236001</v>
      </c>
      <c r="T355" s="701">
        <v>2.07633217004626</v>
      </c>
    </row>
    <row r="356" spans="1:20">
      <c r="A356" t="s">
        <v>1097</v>
      </c>
      <c r="B356" s="6" t="str">
        <f>HYPERLINK("http://www.ncbi.nlm.nih.gov/gene/12565", "12565")</f>
        <v>12565</v>
      </c>
      <c r="C356" s="6" t="str">
        <f>HYPERLINK("http://www.ncbi.nlm.nih.gov/gene/1007", "1007")</f>
        <v>1007</v>
      </c>
      <c r="D356" t="str">
        <f>"Cdh9"</f>
        <v>Cdh9</v>
      </c>
      <c r="E356" t="s">
        <v>1098</v>
      </c>
      <c r="F356" t="s">
        <v>445</v>
      </c>
      <c r="H356" s="517">
        <v>3</v>
      </c>
      <c r="I356" s="279">
        <v>4.6652424990579897</v>
      </c>
      <c r="J356" s="193">
        <v>4.8813914686535496</v>
      </c>
      <c r="K356" s="172">
        <v>5.3329461827427203</v>
      </c>
      <c r="L356" s="1844">
        <v>2.5598490675650001</v>
      </c>
      <c r="M356" s="1272">
        <v>2.5079512251334402</v>
      </c>
      <c r="N356" s="669">
        <v>2.52608727308996</v>
      </c>
      <c r="O356" s="1052">
        <v>2.1686918449724</v>
      </c>
      <c r="P356" s="734">
        <v>2.2806842652773001</v>
      </c>
      <c r="Q356" s="2073">
        <v>2.3761530133747502</v>
      </c>
      <c r="R356" s="715">
        <v>2.31339796774312</v>
      </c>
      <c r="S356" s="892">
        <v>2.5973056579491298</v>
      </c>
      <c r="T356" s="1344">
        <v>2.3470851091081202</v>
      </c>
    </row>
    <row r="357" spans="1:20">
      <c r="A357" t="s">
        <v>1099</v>
      </c>
      <c r="B357" s="6" t="str">
        <f>HYPERLINK("http://www.ncbi.nlm.nih.gov/gene/170719", "170719")</f>
        <v>170719</v>
      </c>
      <c r="C357" s="6" t="str">
        <f>HYPERLINK("http://www.ncbi.nlm.nih.gov/gene/55074", "55074")</f>
        <v>55074</v>
      </c>
      <c r="D357" t="str">
        <f>"Oxr1"</f>
        <v>Oxr1</v>
      </c>
      <c r="E357" t="s">
        <v>1100</v>
      </c>
      <c r="F357" t="s">
        <v>1101</v>
      </c>
      <c r="H357" s="517">
        <v>3</v>
      </c>
      <c r="I357" s="264">
        <v>6.7059481734297703</v>
      </c>
      <c r="J357" s="116">
        <v>6.7617552330254602</v>
      </c>
      <c r="K357" s="151">
        <v>7.0072373866819504</v>
      </c>
      <c r="L357" s="1998">
        <v>5.5258914535278203</v>
      </c>
      <c r="M357" s="592">
        <v>5.43179733350172</v>
      </c>
      <c r="N357" s="694">
        <v>5.5901760996398</v>
      </c>
      <c r="O357" s="1192">
        <v>5.17175324118507</v>
      </c>
      <c r="P357" s="662">
        <v>5.3647858925646696</v>
      </c>
      <c r="Q357" s="2071">
        <v>5.3698746193181703</v>
      </c>
      <c r="R357" s="573">
        <v>5.3023724373915497</v>
      </c>
      <c r="S357" s="549">
        <v>5.4490546896376699</v>
      </c>
      <c r="T357" s="740">
        <v>5.3937313613428604</v>
      </c>
    </row>
    <row r="358" spans="1:20">
      <c r="A358" t="s">
        <v>1102</v>
      </c>
      <c r="B358" s="6" t="str">
        <f>HYPERLINK("http://www.ncbi.nlm.nih.gov/gene/58207", "58207")</f>
        <v>58207</v>
      </c>
      <c r="C358" s="6" t="str">
        <f>HYPERLINK("http://www.ncbi.nlm.nih.gov/gene/29015", "29015")</f>
        <v>29015</v>
      </c>
      <c r="D358" t="str">
        <f>"Slc43a3"</f>
        <v>Slc43a3</v>
      </c>
      <c r="E358" t="s">
        <v>1103</v>
      </c>
      <c r="F358" t="s">
        <v>1104</v>
      </c>
      <c r="H358" s="517">
        <v>3</v>
      </c>
      <c r="I358" s="118">
        <v>7.2999403682156601</v>
      </c>
      <c r="J358" s="201">
        <v>7.1770435497798104</v>
      </c>
      <c r="K358" s="48">
        <v>7.3806534728086399</v>
      </c>
      <c r="L358" s="2127">
        <v>6.0020269165152902</v>
      </c>
      <c r="M358" s="906">
        <v>5.99711749592832</v>
      </c>
      <c r="N358" s="549">
        <v>5.8643474735451004</v>
      </c>
      <c r="O358" s="1052">
        <v>5.6753196474353897</v>
      </c>
      <c r="P358" s="592">
        <v>5.8490699237996502</v>
      </c>
      <c r="Q358" s="2133">
        <v>5.8016514432649799</v>
      </c>
      <c r="R358" s="555">
        <v>5.5745962971904799</v>
      </c>
      <c r="S358" s="629">
        <v>5.9847674282119598</v>
      </c>
      <c r="T358" s="1345">
        <v>5.62221586154131</v>
      </c>
    </row>
    <row r="359" spans="1:20">
      <c r="A359" t="s">
        <v>1105</v>
      </c>
      <c r="B359" s="6" t="str">
        <f>HYPERLINK("http://www.ncbi.nlm.nih.gov/gene/69847", "69847")</f>
        <v>69847</v>
      </c>
      <c r="C359" s="6" t="str">
        <f>HYPERLINK("http://www.ncbi.nlm.nih.gov/gene/65266", "65266")</f>
        <v>65266</v>
      </c>
      <c r="D359" t="str">
        <f>"Wnk4"</f>
        <v>Wnk4</v>
      </c>
      <c r="E359" t="s">
        <v>1106</v>
      </c>
      <c r="F359" t="s">
        <v>1107</v>
      </c>
      <c r="H359" s="517">
        <v>3</v>
      </c>
      <c r="I359" s="177">
        <v>7.0990098158291897</v>
      </c>
      <c r="J359" s="201">
        <v>6.87154633922834</v>
      </c>
      <c r="K359" s="115">
        <v>7.1396956602822597</v>
      </c>
      <c r="L359" s="2206">
        <v>4.8493447229412601</v>
      </c>
      <c r="M359" s="595">
        <v>5.0353305819772602</v>
      </c>
      <c r="N359" s="869">
        <v>5.2240302634625504</v>
      </c>
      <c r="O359" s="1027">
        <v>5.0151150191636296</v>
      </c>
      <c r="P359" s="655">
        <v>5.0971849566424003</v>
      </c>
      <c r="Q359" s="2071">
        <v>4.8696866512674299</v>
      </c>
      <c r="R359" s="734">
        <v>4.8076271940703901</v>
      </c>
      <c r="S359" s="544">
        <v>4.7922630527602896</v>
      </c>
      <c r="T359" s="893">
        <v>4.5649160840475904</v>
      </c>
    </row>
    <row r="360" spans="1:20">
      <c r="A360" t="s">
        <v>1108</v>
      </c>
      <c r="B360" s="6" t="str">
        <f>HYPERLINK("http://www.ncbi.nlm.nih.gov/gene/14160", "14160")</f>
        <v>14160</v>
      </c>
      <c r="C360" s="6" t="str">
        <f>HYPERLINK("http://www.ncbi.nlm.nih.gov/gene/8549", "8549")</f>
        <v>8549</v>
      </c>
      <c r="D360" t="str">
        <f>"Lgr5"</f>
        <v>Lgr5</v>
      </c>
      <c r="E360" t="s">
        <v>1109</v>
      </c>
      <c r="F360" t="s">
        <v>1110</v>
      </c>
      <c r="H360" s="517">
        <v>3</v>
      </c>
      <c r="I360" s="301">
        <v>7.6948353301802603</v>
      </c>
      <c r="J360" s="92">
        <v>7.4843269629216698</v>
      </c>
      <c r="K360" s="138">
        <v>7.72572128239484</v>
      </c>
      <c r="L360" s="2088">
        <v>3.8004700073695901</v>
      </c>
      <c r="M360" s="609">
        <v>4.0954325454342602</v>
      </c>
      <c r="N360" s="560">
        <v>4.1560771318508802</v>
      </c>
      <c r="O360" s="1172">
        <v>3.9826013629306298</v>
      </c>
      <c r="P360" s="583">
        <v>3.9046224199782902</v>
      </c>
      <c r="Q360" s="2057">
        <v>3.9484737597460602</v>
      </c>
      <c r="R360" s="708">
        <v>3.85926251619449</v>
      </c>
      <c r="S360" s="622">
        <v>3.8059966340199498</v>
      </c>
      <c r="T360" s="1282">
        <v>3.57844175476786</v>
      </c>
    </row>
    <row r="361" spans="1:20">
      <c r="A361" t="s">
        <v>1111</v>
      </c>
      <c r="B361" s="6" t="str">
        <f>HYPERLINK("http://www.ncbi.nlm.nih.gov/gene/407831", "407831")</f>
        <v>407831</v>
      </c>
      <c r="C361" s="6" t="str">
        <f>HYPERLINK("http://www.ncbi.nlm.nih.gov/gene/79652", "79652")</f>
        <v>79652</v>
      </c>
      <c r="D361" t="str">
        <f>"Tmem204"</f>
        <v>Tmem204</v>
      </c>
      <c r="E361" t="s">
        <v>1112</v>
      </c>
      <c r="F361" t="s">
        <v>1113</v>
      </c>
      <c r="H361" s="517">
        <v>3</v>
      </c>
      <c r="I361" s="108">
        <v>5.3838996955792897</v>
      </c>
      <c r="J361" s="217">
        <v>5.3010898453117701</v>
      </c>
      <c r="K361" s="459">
        <v>5.59052032339872</v>
      </c>
      <c r="L361" s="2135">
        <v>3.5969538248287098</v>
      </c>
      <c r="M361" s="529">
        <v>3.7943203179558398</v>
      </c>
      <c r="N361" s="849">
        <v>3.9344233978057401</v>
      </c>
      <c r="O361" s="1060">
        <v>3.5821542182423101</v>
      </c>
      <c r="P361" s="859">
        <v>3.3571896125620801</v>
      </c>
      <c r="Q361" s="2065">
        <v>3.5887442199035502</v>
      </c>
      <c r="R361" s="554">
        <v>3.58738744348048</v>
      </c>
      <c r="S361" s="1346">
        <v>3.41768716740996</v>
      </c>
      <c r="T361" s="1347">
        <v>3.45421617184611</v>
      </c>
    </row>
    <row r="362" spans="1:20">
      <c r="A362" t="s">
        <v>1114</v>
      </c>
      <c r="B362" s="6" t="str">
        <f>HYPERLINK("http://www.ncbi.nlm.nih.gov/gene/70617", "70617")</f>
        <v>70617</v>
      </c>
      <c r="C362" s="6" t="str">
        <f>HYPERLINK("http://www.ncbi.nlm.nih.gov/gene/132720", "132720")</f>
        <v>132720</v>
      </c>
      <c r="D362" t="str">
        <f>"5730508B09Rik"</f>
        <v>5730508B09Rik</v>
      </c>
      <c r="E362" t="s">
        <v>1115</v>
      </c>
      <c r="F362" t="s">
        <v>37</v>
      </c>
      <c r="H362" s="517">
        <v>3</v>
      </c>
      <c r="I362" s="318">
        <v>5.9200869571341004</v>
      </c>
      <c r="J362" s="201">
        <v>5.7527660738170097</v>
      </c>
      <c r="K362" s="118">
        <v>5.8453228253890996</v>
      </c>
      <c r="L362" s="1838">
        <v>4.8949216004139897</v>
      </c>
      <c r="M362" s="573">
        <v>4.6689109473283397</v>
      </c>
      <c r="N362" s="629">
        <v>4.8691957137749098</v>
      </c>
      <c r="O362" s="1114">
        <v>4.7103899347747902</v>
      </c>
      <c r="P362" s="592">
        <v>4.7688986037778101</v>
      </c>
      <c r="Q362" s="2057">
        <v>4.7556712542156898</v>
      </c>
      <c r="R362" s="592">
        <v>4.7667424358786104</v>
      </c>
      <c r="S362" s="864">
        <v>4.6219944785248996</v>
      </c>
      <c r="T362" s="879">
        <v>4.6391727044062199</v>
      </c>
    </row>
    <row r="363" spans="1:20">
      <c r="A363" t="s">
        <v>1116</v>
      </c>
      <c r="B363" s="6" t="str">
        <f>HYPERLINK("http://www.ncbi.nlm.nih.gov/gene/12288", "12288")</f>
        <v>12288</v>
      </c>
      <c r="C363" s="6" t="str">
        <f>HYPERLINK("http://www.ncbi.nlm.nih.gov/gene/775", "775")</f>
        <v>775</v>
      </c>
      <c r="D363" t="str">
        <f>"Cacna1c"</f>
        <v>Cacna1c</v>
      </c>
      <c r="E363" t="s">
        <v>1117</v>
      </c>
      <c r="F363" t="s">
        <v>1118</v>
      </c>
      <c r="G363" t="s">
        <v>1119</v>
      </c>
      <c r="H363" s="517">
        <v>3</v>
      </c>
      <c r="I363" s="463">
        <v>6.7205063185825296</v>
      </c>
      <c r="J363" s="92">
        <v>6.5883150301260001</v>
      </c>
      <c r="K363" s="267">
        <v>6.6009684624302603</v>
      </c>
      <c r="L363" s="2220">
        <v>5.2541944599207397</v>
      </c>
      <c r="M363" s="549">
        <v>5.2740741301240197</v>
      </c>
      <c r="N363" s="629">
        <v>5.3875988702782198</v>
      </c>
      <c r="O363" s="1168">
        <v>5.14536446304305</v>
      </c>
      <c r="P363" s="599">
        <v>5.2888447842700703</v>
      </c>
      <c r="Q363" s="2093">
        <v>5.1184011956964</v>
      </c>
      <c r="R363" s="655">
        <v>5.3473295612088698</v>
      </c>
      <c r="S363" s="1037">
        <v>5.1073626422201102</v>
      </c>
      <c r="T363" s="735">
        <v>5.1165448709357699</v>
      </c>
    </row>
    <row r="364" spans="1:20">
      <c r="A364" t="s">
        <v>1120</v>
      </c>
      <c r="B364" s="6" t="str">
        <f>HYPERLINK("http://www.ncbi.nlm.nih.gov/gene/269823", "269823")</f>
        <v>269823</v>
      </c>
      <c r="C364" s="6" t="str">
        <f>HYPERLINK("http://www.ncbi.nlm.nih.gov/gene/5446", "5446")</f>
        <v>5446</v>
      </c>
      <c r="D364" t="str">
        <f>"Pon3"</f>
        <v>Pon3</v>
      </c>
      <c r="E364" t="s">
        <v>1121</v>
      </c>
      <c r="F364" t="s">
        <v>1122</v>
      </c>
      <c r="G364" t="s">
        <v>1123</v>
      </c>
      <c r="H364" s="517">
        <v>3</v>
      </c>
      <c r="I364" s="161">
        <v>4.2389312069474503</v>
      </c>
      <c r="J364" s="152">
        <v>4.4879025020430303</v>
      </c>
      <c r="K364" s="245">
        <v>4.6077913142901199</v>
      </c>
      <c r="L364" s="1844">
        <v>2.8964445158079299</v>
      </c>
      <c r="M364" s="708">
        <v>2.7795548196653499</v>
      </c>
      <c r="N364" s="549">
        <v>2.8586541916785002</v>
      </c>
      <c r="O364" s="1104">
        <v>2.9328459582239002</v>
      </c>
      <c r="P364" s="641">
        <v>2.6406741262437698</v>
      </c>
      <c r="Q364" s="2222">
        <v>3.0584168500610298</v>
      </c>
      <c r="R364" s="544">
        <v>2.7078909396085402</v>
      </c>
      <c r="S364" s="1223">
        <v>2.6929764170756099</v>
      </c>
      <c r="T364" s="735">
        <v>2.6657760105401702</v>
      </c>
    </row>
    <row r="365" spans="1:20">
      <c r="A365" t="s">
        <v>1124</v>
      </c>
      <c r="B365" s="6" t="str">
        <f>HYPERLINK("http://www.ncbi.nlm.nih.gov/gene/235533", "235533")</f>
        <v>235533</v>
      </c>
      <c r="C365" s="6" t="str">
        <f>HYPERLINK("http://www.ncbi.nlm.nih.gov/gene/256356", "256356")</f>
        <v>256356</v>
      </c>
      <c r="D365" t="str">
        <f>"Gk5"</f>
        <v>Gk5</v>
      </c>
      <c r="E365" t="s">
        <v>1125</v>
      </c>
      <c r="F365" t="s">
        <v>1126</v>
      </c>
      <c r="H365" s="517">
        <v>3</v>
      </c>
      <c r="I365" s="118">
        <v>8.2102055365938202</v>
      </c>
      <c r="J365" s="107">
        <v>8.1765552897771592</v>
      </c>
      <c r="K365" s="152">
        <v>8.2409399050801593</v>
      </c>
      <c r="L365" s="2068">
        <v>6.4411483477154201</v>
      </c>
      <c r="M365" s="659">
        <v>6.5210086032955896</v>
      </c>
      <c r="N365" s="560">
        <v>6.6126102177352104</v>
      </c>
      <c r="O365" s="1348">
        <v>6.4953830511834099</v>
      </c>
      <c r="P365" s="891">
        <v>6.4512471233553903</v>
      </c>
      <c r="Q365" s="2223">
        <v>6.7342492059557504</v>
      </c>
      <c r="R365" s="1191">
        <v>6.2549267413518796</v>
      </c>
      <c r="S365" s="604">
        <v>6.5958603309591002</v>
      </c>
      <c r="T365" s="584">
        <v>6.4252903510234702</v>
      </c>
    </row>
    <row r="366" spans="1:20">
      <c r="A366" t="s">
        <v>1127</v>
      </c>
      <c r="B366" s="6" t="str">
        <f>HYPERLINK("http://www.ncbi.nlm.nih.gov/gene/723822", "723822")</f>
        <v>723822</v>
      </c>
      <c r="C366" s="6" t="str">
        <f>HYPERLINK("http://www.ncbi.nlm.nih.gov/gene/", "")</f>
        <v/>
      </c>
      <c r="D366" t="str">
        <f>"Mir218-1"</f>
        <v>Mir218-1</v>
      </c>
      <c r="E366" t="s">
        <v>1128</v>
      </c>
      <c r="F366" t="s">
        <v>1129</v>
      </c>
      <c r="H366" s="517">
        <v>3</v>
      </c>
      <c r="I366" s="152">
        <v>7.0445060769665604</v>
      </c>
      <c r="J366" s="137">
        <v>6.88157175720875</v>
      </c>
      <c r="K366" s="131">
        <v>7.0006637117681896</v>
      </c>
      <c r="L366" s="2061">
        <v>4.2006310659848696</v>
      </c>
      <c r="M366" s="699">
        <v>4.4903509848755601</v>
      </c>
      <c r="N366" s="543">
        <v>4.4317703597241804</v>
      </c>
      <c r="O366" s="1349">
        <v>4.0297083124481903</v>
      </c>
      <c r="P366" s="676">
        <v>4.5014685464783204</v>
      </c>
      <c r="Q366" s="2239">
        <v>4.5004160488477503</v>
      </c>
      <c r="R366" s="1037">
        <v>3.9993393479103001</v>
      </c>
      <c r="S366" s="1029">
        <v>3.7672337799992399</v>
      </c>
      <c r="T366" s="1290">
        <v>4.1939023413019596</v>
      </c>
    </row>
    <row r="367" spans="1:20">
      <c r="A367" t="s">
        <v>1130</v>
      </c>
      <c r="B367" s="6" t="str">
        <f>HYPERLINK("http://www.ncbi.nlm.nih.gov/gene/14260", "14260")</f>
        <v>14260</v>
      </c>
      <c r="C367" s="6" t="str">
        <f>HYPERLINK("http://www.ncbi.nlm.nih.gov/gene/342184", "342184")</f>
        <v>342184</v>
      </c>
      <c r="D367" t="str">
        <f>"Fmn1"</f>
        <v>Fmn1</v>
      </c>
      <c r="E367" t="s">
        <v>1131</v>
      </c>
      <c r="F367" t="s">
        <v>1132</v>
      </c>
      <c r="H367" s="517">
        <v>3</v>
      </c>
      <c r="I367" s="115">
        <v>6.9230309000855899</v>
      </c>
      <c r="J367" s="477">
        <v>6.6214909271742197</v>
      </c>
      <c r="K367" s="301">
        <v>6.8805314261774102</v>
      </c>
      <c r="L367" s="1891">
        <v>4.8835920332111398</v>
      </c>
      <c r="M367" s="738">
        <v>5.0819057004305597</v>
      </c>
      <c r="N367" s="592">
        <v>4.9227732387738596</v>
      </c>
      <c r="O367" s="989">
        <v>4.9484355335975296</v>
      </c>
      <c r="P367" s="712">
        <v>4.8639080025380297</v>
      </c>
      <c r="Q367" s="2240">
        <v>5.3511559048478698</v>
      </c>
      <c r="R367" s="566">
        <v>4.6864473290324398</v>
      </c>
      <c r="S367" s="1188">
        <v>4.53128972255183</v>
      </c>
      <c r="T367" s="1350">
        <v>4.73662142453749</v>
      </c>
    </row>
    <row r="368" spans="1:20">
      <c r="A368" t="s">
        <v>1133</v>
      </c>
      <c r="B368" s="6" t="str">
        <f>HYPERLINK("http://www.ncbi.nlm.nih.gov/gene/13346", "13346")</f>
        <v>13346</v>
      </c>
      <c r="C368" s="6" t="str">
        <f>HYPERLINK("http://www.ncbi.nlm.nih.gov/gene/1674", "1674")</f>
        <v>1674</v>
      </c>
      <c r="D368" t="str">
        <f>"Des"</f>
        <v>Des</v>
      </c>
      <c r="E368" t="s">
        <v>1134</v>
      </c>
      <c r="F368" t="s">
        <v>1135</v>
      </c>
      <c r="G368" t="s">
        <v>1136</v>
      </c>
      <c r="H368" s="517">
        <v>3</v>
      </c>
      <c r="I368" s="117">
        <v>7.1691749145582797</v>
      </c>
      <c r="J368" s="267">
        <v>7.0700270717807596</v>
      </c>
      <c r="K368" s="94">
        <v>7.1081201543093799</v>
      </c>
      <c r="L368" s="2063">
        <v>4.3162450794354204</v>
      </c>
      <c r="M368" s="636">
        <v>4.3887226440191096</v>
      </c>
      <c r="N368" s="600">
        <v>4.5581185462580898</v>
      </c>
      <c r="O368" s="1001">
        <v>4.4460749352355604</v>
      </c>
      <c r="P368" s="599">
        <v>4.4929592611152902</v>
      </c>
      <c r="Q368" s="2241">
        <v>4.9851958941851997</v>
      </c>
      <c r="R368" s="1281">
        <v>3.90759264561569</v>
      </c>
      <c r="S368" s="992">
        <v>3.98855845512798</v>
      </c>
      <c r="T368" s="1344">
        <v>4.3042964394032603</v>
      </c>
    </row>
    <row r="369" spans="1:20">
      <c r="A369" t="s">
        <v>1137</v>
      </c>
      <c r="B369" s="6" t="str">
        <f>HYPERLINK("http://www.ncbi.nlm.nih.gov/gene/68725", "68725")</f>
        <v>68725</v>
      </c>
      <c r="C369" s="6" t="str">
        <f>HYPERLINK("http://www.ncbi.nlm.nih.gov/gene/401097", "401097")</f>
        <v>401097</v>
      </c>
      <c r="D369" t="str">
        <f>"1110032F04Rik"</f>
        <v>1110032F04Rik</v>
      </c>
      <c r="E369" t="s">
        <v>1138</v>
      </c>
      <c r="F369" t="s">
        <v>37</v>
      </c>
      <c r="H369" s="517">
        <v>3</v>
      </c>
      <c r="I369" s="101">
        <v>5.9931211583423698</v>
      </c>
      <c r="J369" s="267">
        <v>5.7295321178649896</v>
      </c>
      <c r="K369" s="366">
        <v>5.5826077508820404</v>
      </c>
      <c r="L369" s="1844">
        <v>3.8347976198660301</v>
      </c>
      <c r="M369" s="629">
        <v>3.9536563857662901</v>
      </c>
      <c r="N369" s="734">
        <v>3.61040268620201</v>
      </c>
      <c r="O369" s="1172">
        <v>3.7552485343975901</v>
      </c>
      <c r="P369" s="594">
        <v>3.7771361438671902</v>
      </c>
      <c r="Q369" s="2242">
        <v>3.2660973244130602</v>
      </c>
      <c r="R369" s="891">
        <v>3.6508252107471701</v>
      </c>
      <c r="S369" s="595">
        <v>3.83710096148336</v>
      </c>
      <c r="T369" s="588">
        <v>3.7838564160252299</v>
      </c>
    </row>
    <row r="370" spans="1:20">
      <c r="A370" t="s">
        <v>1139</v>
      </c>
      <c r="B370" s="6" t="str">
        <f>HYPERLINK("http://www.ncbi.nlm.nih.gov/gene/381485", "381485")</f>
        <v>381485</v>
      </c>
      <c r="C370" s="6" t="str">
        <f>HYPERLINK("http://www.ncbi.nlm.nih.gov/gene/84675", "84675")</f>
        <v>84675</v>
      </c>
      <c r="D370" t="str">
        <f>"Trim55"</f>
        <v>Trim55</v>
      </c>
      <c r="E370" t="s">
        <v>1140</v>
      </c>
      <c r="F370" t="s">
        <v>1141</v>
      </c>
      <c r="H370" s="517">
        <v>3</v>
      </c>
      <c r="I370" s="328">
        <v>5.0522147230669798</v>
      </c>
      <c r="J370" s="186">
        <v>4.6084949466604996</v>
      </c>
      <c r="K370" s="124">
        <v>4.7529627187878498</v>
      </c>
      <c r="L370" s="1955">
        <v>2.7213765607524998</v>
      </c>
      <c r="M370" s="543">
        <v>2.8066896446368101</v>
      </c>
      <c r="N370" s="549">
        <v>2.72184265002825</v>
      </c>
      <c r="O370" s="1351">
        <v>2.7013204333495699</v>
      </c>
      <c r="P370" s="1081">
        <v>2.55186004795971</v>
      </c>
      <c r="Q370" s="2176">
        <v>2.5179461658126798</v>
      </c>
      <c r="R370" s="554">
        <v>2.6560008302039901</v>
      </c>
      <c r="S370" s="566">
        <v>2.4388041310737298</v>
      </c>
      <c r="T370" s="1352">
        <v>2.74984617723196</v>
      </c>
    </row>
    <row r="371" spans="1:20">
      <c r="A371" t="s">
        <v>1142</v>
      </c>
      <c r="B371" s="6" t="str">
        <f>HYPERLINK("http://www.ncbi.nlm.nih.gov/gene/327978", "327978")</f>
        <v>327978</v>
      </c>
      <c r="C371" s="6" t="str">
        <f>HYPERLINK("http://www.ncbi.nlm.nih.gov/gene/162394", "162394")</f>
        <v>162394</v>
      </c>
      <c r="D371" t="str">
        <f>"Slfn5"</f>
        <v>Slfn5</v>
      </c>
      <c r="E371" t="s">
        <v>1143</v>
      </c>
      <c r="F371" t="s">
        <v>1144</v>
      </c>
      <c r="H371" s="517">
        <v>3</v>
      </c>
      <c r="I371" s="189">
        <v>5.2761755601279496</v>
      </c>
      <c r="J371" s="240">
        <v>5.1313628218443004</v>
      </c>
      <c r="K371" s="267">
        <v>5.1079734552565403</v>
      </c>
      <c r="L371" s="2243">
        <v>2.8635764988389001</v>
      </c>
      <c r="M371" s="599">
        <v>2.72668951276829</v>
      </c>
      <c r="N371" s="594">
        <v>2.6827398964691</v>
      </c>
      <c r="O371" s="1353">
        <v>2.7788529972090998</v>
      </c>
      <c r="P371" s="610">
        <v>2.6217729621201502</v>
      </c>
      <c r="Q371" s="2221">
        <v>2.4987532489234199</v>
      </c>
      <c r="R371" s="592">
        <v>2.6641557835967999</v>
      </c>
      <c r="S371" s="1281">
        <v>2.1887073055101798</v>
      </c>
      <c r="T371" s="623">
        <v>2.4669301018667298</v>
      </c>
    </row>
    <row r="372" spans="1:20">
      <c r="A372" t="s">
        <v>1145</v>
      </c>
      <c r="B372" s="6" t="str">
        <f>HYPERLINK("http://www.ncbi.nlm.nih.gov/gene/217012", "217012")</f>
        <v>217012</v>
      </c>
      <c r="C372" s="6" t="str">
        <f>HYPERLINK("http://www.ncbi.nlm.nih.gov/gene/146862", "146862")</f>
        <v>146862</v>
      </c>
      <c r="D372" t="str">
        <f>"Unc45b"</f>
        <v>Unc45b</v>
      </c>
      <c r="E372" t="s">
        <v>1146</v>
      </c>
      <c r="F372" t="s">
        <v>1147</v>
      </c>
      <c r="H372" s="517">
        <v>3</v>
      </c>
      <c r="I372" s="193">
        <v>6.0552853295632598</v>
      </c>
      <c r="J372" s="94">
        <v>6.0989539740888796</v>
      </c>
      <c r="K372" s="115">
        <v>6.2595898955462799</v>
      </c>
      <c r="L372" s="1998">
        <v>3.7924386701508199</v>
      </c>
      <c r="M372" s="906">
        <v>3.8774652281806601</v>
      </c>
      <c r="N372" s="688">
        <v>3.3611676804385402</v>
      </c>
      <c r="O372" s="1351">
        <v>3.6168701856304302</v>
      </c>
      <c r="P372" s="622">
        <v>3.4852664908389799</v>
      </c>
      <c r="Q372" s="2141">
        <v>3.2962391811540899</v>
      </c>
      <c r="R372" s="636">
        <v>3.5767659478898799</v>
      </c>
      <c r="S372" s="572">
        <v>3.46115202038659</v>
      </c>
      <c r="T372" s="1354">
        <v>3.56311169515596</v>
      </c>
    </row>
    <row r="373" spans="1:20">
      <c r="A373" t="s">
        <v>1148</v>
      </c>
      <c r="B373" s="6" t="str">
        <f>HYPERLINK("http://www.ncbi.nlm.nih.gov/gene/229949", "229949")</f>
        <v>229949</v>
      </c>
      <c r="C373" s="6" t="str">
        <f>HYPERLINK("http://www.ncbi.nlm.nih.gov/gene/26289", "26289")</f>
        <v>26289</v>
      </c>
      <c r="D373" t="str">
        <f>"Ak5"</f>
        <v>Ak5</v>
      </c>
      <c r="E373" t="s">
        <v>1149</v>
      </c>
      <c r="F373" t="s">
        <v>1150</v>
      </c>
      <c r="G373" t="s">
        <v>1151</v>
      </c>
      <c r="H373" s="517">
        <v>3</v>
      </c>
      <c r="I373" s="207">
        <v>5.0918298369780297</v>
      </c>
      <c r="J373" s="216">
        <v>4.9151084104274698</v>
      </c>
      <c r="K373" s="92">
        <v>4.93287965181253</v>
      </c>
      <c r="L373" s="2243">
        <v>3.5507634859351498</v>
      </c>
      <c r="M373" s="595">
        <v>3.4871652938625499</v>
      </c>
      <c r="N373" s="1223">
        <v>3.28841554086836</v>
      </c>
      <c r="O373" s="1209">
        <v>3.5292390567207801</v>
      </c>
      <c r="P373" s="1006">
        <v>3.4881538709351201</v>
      </c>
      <c r="Q373" s="2244">
        <v>3.1112662592234201</v>
      </c>
      <c r="R373" s="549">
        <v>3.4477072202860701</v>
      </c>
      <c r="S373" s="688">
        <v>3.26479740239908</v>
      </c>
      <c r="T373" s="1355">
        <v>3.3791031583568798</v>
      </c>
    </row>
    <row r="374" spans="1:20">
      <c r="A374" t="s">
        <v>1152</v>
      </c>
      <c r="B374" s="6" t="str">
        <f>HYPERLINK("http://www.ncbi.nlm.nih.gov/gene/14612", "14612")</f>
        <v>14612</v>
      </c>
      <c r="C374" s="6" t="str">
        <f>HYPERLINK("http://www.ncbi.nlm.nih.gov/gene/2701", "2701")</f>
        <v>2701</v>
      </c>
      <c r="D374" t="str">
        <f>"Gja4"</f>
        <v>Gja4</v>
      </c>
      <c r="E374" t="s">
        <v>1153</v>
      </c>
      <c r="F374" t="s">
        <v>1154</v>
      </c>
      <c r="H374" s="517">
        <v>3</v>
      </c>
      <c r="I374" s="208">
        <v>6.2312513265462401</v>
      </c>
      <c r="J374" s="93">
        <v>6.4021688900421703</v>
      </c>
      <c r="K374" s="118">
        <v>6.3386382687617502</v>
      </c>
      <c r="L374" s="1876">
        <v>4.7183064049339896</v>
      </c>
      <c r="M374" s="550">
        <v>4.7860740864298501</v>
      </c>
      <c r="N374" s="583">
        <v>4.5147892064354602</v>
      </c>
      <c r="O374" s="1086">
        <v>4.2254537127495304</v>
      </c>
      <c r="P374" s="1324">
        <v>4.3885239053987704</v>
      </c>
      <c r="Q374" s="2245">
        <v>4.4662894147885197</v>
      </c>
      <c r="R374" s="579">
        <v>4.5555614023067301</v>
      </c>
      <c r="S374" s="619">
        <v>4.3847458854563799</v>
      </c>
      <c r="T374" s="1356">
        <v>4.6771292932899202</v>
      </c>
    </row>
    <row r="375" spans="1:20">
      <c r="A375" t="s">
        <v>1155</v>
      </c>
      <c r="B375" s="6" t="str">
        <f>HYPERLINK("http://www.ncbi.nlm.nih.gov/gene/12827", "12827")</f>
        <v>12827</v>
      </c>
      <c r="C375" s="6" t="str">
        <f>HYPERLINK("http://www.ncbi.nlm.nih.gov/gene/1284", "1284")</f>
        <v>1284</v>
      </c>
      <c r="D375" t="str">
        <f>"Col4a2"</f>
        <v>Col4a2</v>
      </c>
      <c r="E375" t="s">
        <v>1156</v>
      </c>
      <c r="F375" t="s">
        <v>1157</v>
      </c>
      <c r="G375" t="s">
        <v>1158</v>
      </c>
      <c r="H375" s="517">
        <v>3</v>
      </c>
      <c r="I375" s="188">
        <v>6.6767062363193501</v>
      </c>
      <c r="J375" s="116">
        <v>6.5912135187195302</v>
      </c>
      <c r="K375" s="131">
        <v>6.6630119535124299</v>
      </c>
      <c r="L375" s="1840">
        <v>5.5172423313326204</v>
      </c>
      <c r="M375" s="680">
        <v>5.4443404538029103</v>
      </c>
      <c r="N375" s="1007">
        <v>5.2000498840293599</v>
      </c>
      <c r="O375" s="1108">
        <v>5.1288650251241297</v>
      </c>
      <c r="P375" s="876">
        <v>5.1722810471724703</v>
      </c>
      <c r="Q375" s="2238">
        <v>5.3207354914666398</v>
      </c>
      <c r="R375" s="550">
        <v>5.5340679516745697</v>
      </c>
      <c r="S375" s="560">
        <v>5.4276861051782301</v>
      </c>
      <c r="T375" s="723">
        <v>5.3543268352987896</v>
      </c>
    </row>
    <row r="376" spans="1:20">
      <c r="A376" t="s">
        <v>1159</v>
      </c>
      <c r="B376" s="6" t="str">
        <f>HYPERLINK("http://www.ncbi.nlm.nih.gov/gene/17921", "17921")</f>
        <v>17921</v>
      </c>
      <c r="C376" s="6" t="str">
        <f>HYPERLINK("http://www.ncbi.nlm.nih.gov/gene/4647", "4647")</f>
        <v>4647</v>
      </c>
      <c r="D376" t="str">
        <f>"Myo7a"</f>
        <v>Myo7a</v>
      </c>
      <c r="E376" t="s">
        <v>1160</v>
      </c>
      <c r="F376" t="s">
        <v>1161</v>
      </c>
      <c r="H376" s="517">
        <v>3</v>
      </c>
      <c r="I376" s="459">
        <v>4.4454583688904199</v>
      </c>
      <c r="J376" s="107">
        <v>4.3121794831745399</v>
      </c>
      <c r="K376" s="223">
        <v>4.2025487982234404</v>
      </c>
      <c r="L376" s="1900">
        <v>3.3643128218498299</v>
      </c>
      <c r="M376" s="538">
        <v>3.0177508373439199</v>
      </c>
      <c r="N376" s="544">
        <v>2.96872383188254</v>
      </c>
      <c r="O376" s="1357">
        <v>2.8137900153640398</v>
      </c>
      <c r="P376" s="549">
        <v>3.0840730927950499</v>
      </c>
      <c r="Q376" s="2221">
        <v>2.9841312731868901</v>
      </c>
      <c r="R376" s="592">
        <v>3.0708552691075699</v>
      </c>
      <c r="S376" s="619">
        <v>2.94291901166679</v>
      </c>
      <c r="T376" s="615">
        <v>3.1742662023192501</v>
      </c>
    </row>
    <row r="377" spans="1:20">
      <c r="A377" t="s">
        <v>1162</v>
      </c>
      <c r="B377" s="6" t="str">
        <f>HYPERLINK("http://www.ncbi.nlm.nih.gov/gene/20454", "20454")</f>
        <v>20454</v>
      </c>
      <c r="C377" s="6" t="str">
        <f>HYPERLINK("http://www.ncbi.nlm.nih.gov/gene/8869", "8869")</f>
        <v>8869</v>
      </c>
      <c r="D377" t="str">
        <f>"St3gal5"</f>
        <v>St3gal5</v>
      </c>
      <c r="E377" t="s">
        <v>1171</v>
      </c>
      <c r="F377" t="s">
        <v>1163</v>
      </c>
      <c r="G377" t="s">
        <v>1164</v>
      </c>
      <c r="H377" s="517">
        <v>3</v>
      </c>
      <c r="I377" s="159">
        <v>8.1014409476485501</v>
      </c>
      <c r="J377" s="108">
        <v>7.8902785113307798</v>
      </c>
      <c r="K377" s="217">
        <v>7.81834132064869</v>
      </c>
      <c r="L377" s="1837">
        <v>6.3345173499941803</v>
      </c>
      <c r="M377" s="594">
        <v>6.4595850770078904</v>
      </c>
      <c r="N377" s="663">
        <v>6.350289883576</v>
      </c>
      <c r="O377" s="1046">
        <v>6.3755442465000796</v>
      </c>
      <c r="P377" s="708">
        <v>6.39403250635681</v>
      </c>
      <c r="Q377" s="2246">
        <v>6.3327872025079799</v>
      </c>
      <c r="R377" s="680">
        <v>6.5357349590223404</v>
      </c>
      <c r="S377" s="609">
        <v>6.4912657978692696</v>
      </c>
      <c r="T377" s="1358">
        <v>6.4358514487762104</v>
      </c>
    </row>
    <row r="378" spans="1:20">
      <c r="A378" t="s">
        <v>1165</v>
      </c>
      <c r="B378" s="6" t="str">
        <f>HYPERLINK("http://www.ncbi.nlm.nih.gov/gene/14013", "14013")</f>
        <v>14013</v>
      </c>
      <c r="C378" s="6" t="str">
        <f>HYPERLINK("http://www.ncbi.nlm.nih.gov/gene/2122", "2122")</f>
        <v>2122</v>
      </c>
      <c r="D378" t="str">
        <f>"Mecom"</f>
        <v>Mecom</v>
      </c>
      <c r="E378" t="s">
        <v>1166</v>
      </c>
      <c r="F378" t="s">
        <v>1167</v>
      </c>
      <c r="G378" t="s">
        <v>1168</v>
      </c>
      <c r="H378" s="517">
        <v>3</v>
      </c>
      <c r="I378" s="93">
        <v>7.9725803774601003</v>
      </c>
      <c r="J378" s="179">
        <v>8.0034272597777107</v>
      </c>
      <c r="K378" s="264">
        <v>7.8015870075494398</v>
      </c>
      <c r="L378" s="2237">
        <v>6.6279239770732898</v>
      </c>
      <c r="M378" s="1367">
        <v>6.4764125512828397</v>
      </c>
      <c r="N378" s="1006">
        <v>6.65233582721239</v>
      </c>
      <c r="O378" s="1200">
        <v>6.5046653391734601</v>
      </c>
      <c r="P378" s="1343">
        <v>6.5492978224660003</v>
      </c>
      <c r="Q378" s="2064">
        <v>6.5616462216451996</v>
      </c>
      <c r="R378" s="594">
        <v>6.6091732841191799</v>
      </c>
      <c r="S378" s="583">
        <v>6.5642409923868303</v>
      </c>
      <c r="T378" s="1354">
        <v>6.5699129171722603</v>
      </c>
    </row>
    <row r="379" spans="1:20">
      <c r="A379" t="s">
        <v>1169</v>
      </c>
      <c r="B379" s="6" t="str">
        <f>HYPERLINK("http://www.ncbi.nlm.nih.gov/gene/432530", "432530")</f>
        <v>432530</v>
      </c>
      <c r="C379" s="6" t="str">
        <f>HYPERLINK("http://www.ncbi.nlm.nih.gov/gene/107", "107")</f>
        <v>107</v>
      </c>
      <c r="D379" t="str">
        <f>"Adcy1"</f>
        <v>Adcy1</v>
      </c>
      <c r="E379" t="s">
        <v>1170</v>
      </c>
      <c r="F379" t="s">
        <v>1172</v>
      </c>
      <c r="G379" t="s">
        <v>1173</v>
      </c>
      <c r="H379" s="517">
        <v>3</v>
      </c>
      <c r="I379" s="329">
        <v>6.2108308391518303</v>
      </c>
      <c r="J379" s="222">
        <v>6.0700474226602497</v>
      </c>
      <c r="K379" s="463">
        <v>6.2947919048377798</v>
      </c>
      <c r="L379" s="2063">
        <v>4.3425764778773699</v>
      </c>
      <c r="M379" s="663">
        <v>4.2972069127294299</v>
      </c>
      <c r="N379" s="1081">
        <v>4.2913477093010002</v>
      </c>
      <c r="O379" s="1353">
        <v>4.49403286440955</v>
      </c>
      <c r="P379" s="544">
        <v>4.27240626528679</v>
      </c>
      <c r="Q379" s="2160">
        <v>4.5644876459118304</v>
      </c>
      <c r="R379" s="537">
        <v>4.2689511656238901</v>
      </c>
      <c r="S379" s="659">
        <v>4.39755651146021</v>
      </c>
      <c r="T379" s="1359">
        <v>4.4512366510576502</v>
      </c>
    </row>
    <row r="380" spans="1:20">
      <c r="A380" t="s">
        <v>1174</v>
      </c>
      <c r="B380" s="6" t="str">
        <f>HYPERLINK("http://www.ncbi.nlm.nih.gov/gene/381157", "381157")</f>
        <v>381157</v>
      </c>
      <c r="C380" s="6" t="str">
        <f>HYPERLINK("http://www.ncbi.nlm.nih.gov/gene/80000", "80000")</f>
        <v>80000</v>
      </c>
      <c r="D380" t="str">
        <f>"Greb1l"</f>
        <v>Greb1l</v>
      </c>
      <c r="E380" t="s">
        <v>1175</v>
      </c>
      <c r="F380" t="s">
        <v>37</v>
      </c>
      <c r="H380" s="517">
        <v>3</v>
      </c>
      <c r="I380" s="131">
        <v>6.2566447968698897</v>
      </c>
      <c r="J380" s="166">
        <v>6.0780740949858503</v>
      </c>
      <c r="K380" s="168">
        <v>6.4052814274204497</v>
      </c>
      <c r="L380" s="1865">
        <v>4.0935997936951498</v>
      </c>
      <c r="M380" s="1081">
        <v>4.1399659017163097</v>
      </c>
      <c r="N380" s="610">
        <v>4.2400500271987296</v>
      </c>
      <c r="O380" s="1034">
        <v>4.3556808691484701</v>
      </c>
      <c r="P380" s="1324">
        <v>4.0835322970238597</v>
      </c>
      <c r="Q380" s="2219">
        <v>4.4319174359048397</v>
      </c>
      <c r="R380" s="1291">
        <v>4.4346966817276599</v>
      </c>
      <c r="S380" s="663">
        <v>4.1476541517885801</v>
      </c>
      <c r="T380" s="574">
        <v>4.14884732188046</v>
      </c>
    </row>
    <row r="381" spans="1:20">
      <c r="A381" t="s">
        <v>1176</v>
      </c>
      <c r="B381" s="6" t="str">
        <f>HYPERLINK("http://www.ncbi.nlm.nih.gov/gene/214642", "214642")</f>
        <v>214642</v>
      </c>
      <c r="C381" s="6" t="str">
        <f>HYPERLINK("http://www.ncbi.nlm.nih.gov/gene/79974", "79974")</f>
        <v>79974</v>
      </c>
      <c r="D381" t="str">
        <f>"A430107O13Rik"</f>
        <v>A430107O13Rik</v>
      </c>
      <c r="E381" t="s">
        <v>1177</v>
      </c>
      <c r="F381" t="s">
        <v>1178</v>
      </c>
      <c r="H381" s="517">
        <v>3</v>
      </c>
      <c r="I381" s="138">
        <v>8.8420547634135094</v>
      </c>
      <c r="J381" s="193">
        <v>8.6551544210511899</v>
      </c>
      <c r="K381" s="117">
        <v>8.7739451355173692</v>
      </c>
      <c r="L381" s="1942">
        <v>5.1753541595134003</v>
      </c>
      <c r="M381" s="712">
        <v>5.6190460905511399</v>
      </c>
      <c r="N381" s="891">
        <v>5.5455091881077196</v>
      </c>
      <c r="O381" s="1172">
        <v>5.7065174115364403</v>
      </c>
      <c r="P381" s="532">
        <v>5.6884341508845697</v>
      </c>
      <c r="Q381" s="2095">
        <v>5.7272942737017596</v>
      </c>
      <c r="R381" s="594">
        <v>5.7383601945056402</v>
      </c>
      <c r="S381" s="699">
        <v>5.9331430812458201</v>
      </c>
      <c r="T381" s="701">
        <v>5.6625059376787901</v>
      </c>
    </row>
    <row r="382" spans="1:20">
      <c r="A382" t="s">
        <v>1179</v>
      </c>
      <c r="B382" s="6" t="str">
        <f>HYPERLINK("http://www.ncbi.nlm.nih.gov/gene/237253", "237253")</f>
        <v>237253</v>
      </c>
      <c r="C382" s="6" t="str">
        <f>HYPERLINK("http://www.ncbi.nlm.nih.gov/gene/84918", "84918")</f>
        <v>84918</v>
      </c>
      <c r="D382" t="str">
        <f>"Lrp11"</f>
        <v>Lrp11</v>
      </c>
      <c r="E382" t="s">
        <v>1180</v>
      </c>
      <c r="F382" t="s">
        <v>1181</v>
      </c>
      <c r="H382" s="517">
        <v>3</v>
      </c>
      <c r="I382" s="143">
        <v>6.8181925931798997</v>
      </c>
      <c r="J382" s="137">
        <v>6.8253190612921504</v>
      </c>
      <c r="K382" s="200">
        <v>7.0749890007569602</v>
      </c>
      <c r="L382" s="2195">
        <v>4.4006066480147998</v>
      </c>
      <c r="M382" s="641">
        <v>4.4586434322202102</v>
      </c>
      <c r="N382" s="662">
        <v>4.6200281056806496</v>
      </c>
      <c r="O382" s="1036">
        <v>4.7117055123962599</v>
      </c>
      <c r="P382" s="609">
        <v>4.7854845209739301</v>
      </c>
      <c r="Q382" s="2247">
        <v>4.7223684913453496</v>
      </c>
      <c r="R382" s="579">
        <v>4.7158211244358599</v>
      </c>
      <c r="S382" s="910">
        <v>4.9799259072222002</v>
      </c>
      <c r="T382" s="701">
        <v>4.6799339537794102</v>
      </c>
    </row>
    <row r="383" spans="1:20">
      <c r="A383" t="s">
        <v>1182</v>
      </c>
      <c r="B383" s="6" t="str">
        <f>HYPERLINK("http://www.ncbi.nlm.nih.gov/gene/12494", "12494")</f>
        <v>12494</v>
      </c>
      <c r="C383" s="6" t="str">
        <f>HYPERLINK("http://www.ncbi.nlm.nih.gov/gene/952", "952")</f>
        <v>952</v>
      </c>
      <c r="D383" t="str">
        <f>"Cd38"</f>
        <v>Cd38</v>
      </c>
      <c r="E383" t="s">
        <v>1183</v>
      </c>
      <c r="F383" t="s">
        <v>1184</v>
      </c>
      <c r="G383" t="s">
        <v>1185</v>
      </c>
      <c r="H383" s="517">
        <v>3</v>
      </c>
      <c r="I383" s="234">
        <v>7.7459481944491397</v>
      </c>
      <c r="J383" s="118">
        <v>7.9440567836368796</v>
      </c>
      <c r="K383" s="207">
        <v>8.1435727944785405</v>
      </c>
      <c r="L383" s="2248">
        <v>5.0808603412173099</v>
      </c>
      <c r="M383" s="1109">
        <v>4.5788635073093502</v>
      </c>
      <c r="N383" s="583">
        <v>4.9409078512742903</v>
      </c>
      <c r="O383" s="1351">
        <v>5.0110589550858604</v>
      </c>
      <c r="P383" s="669">
        <v>5.09240227907903</v>
      </c>
      <c r="Q383" s="2093">
        <v>4.7080938711313403</v>
      </c>
      <c r="R383" s="573">
        <v>4.7456971541204203</v>
      </c>
      <c r="S383" s="600">
        <v>5.1463433644681604</v>
      </c>
      <c r="T383" s="1356">
        <v>5.2018132451670001</v>
      </c>
    </row>
    <row r="384" spans="1:20">
      <c r="A384" t="s">
        <v>1186</v>
      </c>
      <c r="B384" s="6" t="str">
        <f>HYPERLINK("http://www.ncbi.nlm.nih.gov/gene/218624", "218624")</f>
        <v>218624</v>
      </c>
      <c r="C384" s="6" t="str">
        <f>HYPERLINK("http://www.ncbi.nlm.nih.gov/gene/133396", "133396")</f>
        <v>133396</v>
      </c>
      <c r="D384" t="str">
        <f>"Il31ra"</f>
        <v>Il31ra</v>
      </c>
      <c r="E384" t="s">
        <v>1187</v>
      </c>
      <c r="F384" t="s">
        <v>1188</v>
      </c>
      <c r="H384" s="517">
        <v>3</v>
      </c>
      <c r="I384" s="207">
        <v>5.2633940530578203</v>
      </c>
      <c r="J384" s="271">
        <v>4.7761709057670299</v>
      </c>
      <c r="K384" s="459">
        <v>5.3076828695732896</v>
      </c>
      <c r="L384" s="1882">
        <v>3.03920297551063</v>
      </c>
      <c r="M384" s="1002">
        <v>2.8623238931327002</v>
      </c>
      <c r="N384" s="663">
        <v>2.8839983622708001</v>
      </c>
      <c r="O384" s="1360">
        <v>3.1291380986588102</v>
      </c>
      <c r="P384" s="636">
        <v>2.9939150583491299</v>
      </c>
      <c r="Q384" s="2249">
        <v>2.9194424600816502</v>
      </c>
      <c r="R384" s="554">
        <v>2.9769313647716298</v>
      </c>
      <c r="S384" s="1181">
        <v>2.7580744890850402</v>
      </c>
      <c r="T384" s="1361">
        <v>3.26073724446608</v>
      </c>
    </row>
    <row r="385" spans="1:20">
      <c r="A385" t="s">
        <v>1189</v>
      </c>
      <c r="B385" s="6" t="str">
        <f>HYPERLINK("http://www.ncbi.nlm.nih.gov/gene/21743", "21743")</f>
        <v>21743</v>
      </c>
      <c r="C385" s="6" t="str">
        <f>HYPERLINK("http://www.ncbi.nlm.nih.gov/gene/11185", "11185")</f>
        <v>11185</v>
      </c>
      <c r="D385" t="str">
        <f>"Inmt"</f>
        <v>Inmt</v>
      </c>
      <c r="E385" t="s">
        <v>1190</v>
      </c>
      <c r="F385" t="s">
        <v>1191</v>
      </c>
      <c r="G385" t="s">
        <v>1209</v>
      </c>
      <c r="H385" s="517">
        <v>3</v>
      </c>
      <c r="I385" s="107">
        <v>5.7628202830137099</v>
      </c>
      <c r="J385" s="108">
        <v>5.7430276844670196</v>
      </c>
      <c r="K385" s="40">
        <v>5.9566656425449498</v>
      </c>
      <c r="L385" s="2037">
        <v>3.1234755836074801</v>
      </c>
      <c r="M385" s="1223">
        <v>2.9057131779356</v>
      </c>
      <c r="N385" s="572">
        <v>2.9767534015342498</v>
      </c>
      <c r="O385" s="1046">
        <v>3.01994560590698</v>
      </c>
      <c r="P385" s="683">
        <v>3.35844735725947</v>
      </c>
      <c r="Q385" s="2250">
        <v>3.25170825877959</v>
      </c>
      <c r="R385" s="609">
        <v>3.2192126707596702</v>
      </c>
      <c r="S385" s="992">
        <v>2.7066734150005001</v>
      </c>
      <c r="T385" s="588">
        <v>3.1881755511268102</v>
      </c>
    </row>
    <row r="386" spans="1:20">
      <c r="A386" t="s">
        <v>1210</v>
      </c>
      <c r="B386" s="6" t="str">
        <f>HYPERLINK("http://www.ncbi.nlm.nih.gov/gene/239743", "239743")</f>
        <v>239743</v>
      </c>
      <c r="C386" s="6" t="str">
        <f>HYPERLINK("http://www.ncbi.nlm.nih.gov/gene/89857", "89857")</f>
        <v>89857</v>
      </c>
      <c r="D386" t="str">
        <f>"Klhl6"</f>
        <v>Klhl6</v>
      </c>
      <c r="E386" t="s">
        <v>1211</v>
      </c>
      <c r="F386" t="s">
        <v>1192</v>
      </c>
      <c r="H386" s="517">
        <v>3</v>
      </c>
      <c r="I386" s="331">
        <v>5.1637777354043903</v>
      </c>
      <c r="J386" s="117">
        <v>5.3290945964693499</v>
      </c>
      <c r="K386" s="48">
        <v>5.4190243505904503</v>
      </c>
      <c r="L386" s="2235">
        <v>3.5520714404095002</v>
      </c>
      <c r="M386" s="595">
        <v>3.46326173741766</v>
      </c>
      <c r="N386" s="1439">
        <v>2.9506116696289699</v>
      </c>
      <c r="O386" s="1069">
        <v>3.2579244161699901</v>
      </c>
      <c r="P386" s="543">
        <v>3.4938010295525999</v>
      </c>
      <c r="Q386" s="2053">
        <v>3.46028628726742</v>
      </c>
      <c r="R386" s="663">
        <v>3.2643854977101201</v>
      </c>
      <c r="S386" s="891">
        <v>3.2906015670533701</v>
      </c>
      <c r="T386" s="1352">
        <v>3.43815267740138</v>
      </c>
    </row>
    <row r="387" spans="1:20">
      <c r="A387" t="s">
        <v>1193</v>
      </c>
      <c r="B387" s="6" t="str">
        <f>HYPERLINK("http://www.ncbi.nlm.nih.gov/gene/320736", "320736")</f>
        <v>320736</v>
      </c>
      <c r="C387" s="6" t="str">
        <f>HYPERLINK("http://www.ncbi.nlm.nih.gov/gene/196740", "196740")</f>
        <v>196740</v>
      </c>
      <c r="D387" t="str">
        <f>"E130203B14Rik"</f>
        <v>E130203B14Rik</v>
      </c>
      <c r="E387" t="s">
        <v>1194</v>
      </c>
      <c r="F387" t="s">
        <v>90</v>
      </c>
      <c r="H387" s="517">
        <v>3</v>
      </c>
      <c r="I387" s="116">
        <v>7.9204345535566603</v>
      </c>
      <c r="J387" s="117">
        <v>8.0409223717344407</v>
      </c>
      <c r="K387" s="138">
        <v>8.0902507772033907</v>
      </c>
      <c r="L387" s="2251">
        <v>6.0123278207428097</v>
      </c>
      <c r="M387" s="891">
        <v>5.75085090103057</v>
      </c>
      <c r="N387" s="1179">
        <v>5.5323711448732702</v>
      </c>
      <c r="O387" s="1353">
        <v>5.9644156224645499</v>
      </c>
      <c r="P387" s="699">
        <v>6.0254464603580402</v>
      </c>
      <c r="Q387" s="2099">
        <v>6.09389308447623</v>
      </c>
      <c r="R387" s="573">
        <v>5.6736506983431401</v>
      </c>
      <c r="S387" s="891">
        <v>5.7468346511338799</v>
      </c>
      <c r="T387" s="730">
        <v>5.5999318304882202</v>
      </c>
    </row>
    <row r="388" spans="1:20">
      <c r="A388" t="s">
        <v>1195</v>
      </c>
      <c r="B388" s="6" t="str">
        <f>HYPERLINK("http://www.ncbi.nlm.nih.gov/gene/77889", "77889")</f>
        <v>77889</v>
      </c>
      <c r="C388" s="6" t="str">
        <f>HYPERLINK("http://www.ncbi.nlm.nih.gov/gene/81606", "81606")</f>
        <v>81606</v>
      </c>
      <c r="D388" t="str">
        <f>"Lbh"</f>
        <v>Lbh</v>
      </c>
      <c r="E388" t="s">
        <v>1196</v>
      </c>
      <c r="F388" t="s">
        <v>1197</v>
      </c>
      <c r="H388" s="517">
        <v>3</v>
      </c>
      <c r="I388" s="188">
        <v>9.7036267364135398</v>
      </c>
      <c r="J388" s="92">
        <v>9.61111578901793</v>
      </c>
      <c r="K388" s="132">
        <v>9.6700261322285197</v>
      </c>
      <c r="L388" s="2037">
        <v>7.96645990112828</v>
      </c>
      <c r="M388" s="622">
        <v>7.8925705096207199</v>
      </c>
      <c r="N388" s="1330">
        <v>7.5481847228788199</v>
      </c>
      <c r="O388" s="1288">
        <v>8.0835146789353907</v>
      </c>
      <c r="P388" s="654">
        <v>8.1672214158947103</v>
      </c>
      <c r="Q388" s="2160">
        <v>8.1200139180274604</v>
      </c>
      <c r="R388" s="1223">
        <v>7.8273395472266296</v>
      </c>
      <c r="S388" s="659">
        <v>7.9593049579728499</v>
      </c>
      <c r="T388" s="1355">
        <v>7.92892437528256</v>
      </c>
    </row>
    <row r="389" spans="1:20">
      <c r="A389" t="s">
        <v>1198</v>
      </c>
      <c r="B389" s="6" t="str">
        <f>HYPERLINK("http://www.ncbi.nlm.nih.gov/gene/110532", "110532")</f>
        <v>110532</v>
      </c>
      <c r="C389" s="6" t="str">
        <f>HYPERLINK("http://www.ncbi.nlm.nih.gov/gene/104", "104")</f>
        <v>104</v>
      </c>
      <c r="D389" t="str">
        <f>"Adarb1"</f>
        <v>Adarb1</v>
      </c>
      <c r="E389" t="s">
        <v>1199</v>
      </c>
      <c r="F389" t="s">
        <v>1200</v>
      </c>
      <c r="H389" s="517">
        <v>3</v>
      </c>
      <c r="I389" s="188">
        <v>6.0709179652865002</v>
      </c>
      <c r="J389" s="240">
        <v>6.0341793320391703</v>
      </c>
      <c r="K389" s="77">
        <v>5.8803858839994296</v>
      </c>
      <c r="L389" s="1928">
        <v>4.9402571354909899</v>
      </c>
      <c r="M389" s="1296">
        <v>5.1179151842282504</v>
      </c>
      <c r="N389" s="1109">
        <v>4.7041593557019903</v>
      </c>
      <c r="O389" s="1362">
        <v>4.6013492907723803</v>
      </c>
      <c r="P389" s="1095">
        <v>5.0920177807859499</v>
      </c>
      <c r="Q389" s="2108">
        <v>5.2450448447527602</v>
      </c>
      <c r="R389" s="864">
        <v>4.7183702236595098</v>
      </c>
      <c r="S389" s="987">
        <v>4.5888553360662501</v>
      </c>
      <c r="T389" s="1344">
        <v>4.8201632597463497</v>
      </c>
    </row>
    <row r="390" spans="1:20">
      <c r="A390" t="s">
        <v>1201</v>
      </c>
      <c r="B390" s="6" t="str">
        <f>HYPERLINK("http://www.ncbi.nlm.nih.gov/gene/11421", "11421")</f>
        <v>11421</v>
      </c>
      <c r="C390" s="6" t="str">
        <f>HYPERLINK("http://www.ncbi.nlm.nih.gov/gene/1636", "1636")</f>
        <v>1636</v>
      </c>
      <c r="D390" t="str">
        <f>"Ace"</f>
        <v>Ace</v>
      </c>
      <c r="E390" t="s">
        <v>1202</v>
      </c>
      <c r="F390" t="s">
        <v>1203</v>
      </c>
      <c r="G390" t="s">
        <v>1204</v>
      </c>
      <c r="H390" s="517">
        <v>3</v>
      </c>
      <c r="I390" s="497">
        <v>4.5813375067078397</v>
      </c>
      <c r="J390" s="366">
        <v>4.2488845004876099</v>
      </c>
      <c r="K390" s="223">
        <v>4.2324588792701103</v>
      </c>
      <c r="L390" s="1998">
        <v>3.10723801838546</v>
      </c>
      <c r="M390" s="609">
        <v>3.0509768033158502</v>
      </c>
      <c r="N390" s="1095">
        <v>3.2611138367389798</v>
      </c>
      <c r="O390" s="1072">
        <v>2.7918715311297402</v>
      </c>
      <c r="P390" s="670">
        <v>3.1441023197151501</v>
      </c>
      <c r="Q390" s="2250">
        <v>3.06429543114995</v>
      </c>
      <c r="R390" s="662">
        <v>2.9470522131157102</v>
      </c>
      <c r="S390" s="1179">
        <v>2.7954706153413098</v>
      </c>
      <c r="T390" s="1363">
        <v>2.72801859948737</v>
      </c>
    </row>
    <row r="391" spans="1:20">
      <c r="A391" t="s">
        <v>1205</v>
      </c>
      <c r="B391" s="6" t="str">
        <f>HYPERLINK("http://www.ncbi.nlm.nih.gov/gene/320268", "320268")</f>
        <v>320268</v>
      </c>
      <c r="C391" s="6" t="str">
        <f>HYPERLINK("http://www.ncbi.nlm.nih.gov/gene/", "")</f>
        <v/>
      </c>
      <c r="D391" t="str">
        <f>"B930095G15Rik"</f>
        <v>B930095G15Rik</v>
      </c>
      <c r="E391" t="s">
        <v>1206</v>
      </c>
      <c r="H391" s="517">
        <v>3</v>
      </c>
      <c r="I391" s="458">
        <v>7.5729024142297998</v>
      </c>
      <c r="J391" s="102">
        <v>7.3769324692110603</v>
      </c>
      <c r="K391" s="223">
        <v>7.3133237138027898</v>
      </c>
      <c r="L391" s="1896">
        <v>6.1371542168492104</v>
      </c>
      <c r="M391" s="695">
        <v>6.2469627296455403</v>
      </c>
      <c r="N391" s="655">
        <v>6.1754318109565904</v>
      </c>
      <c r="O391" s="1089">
        <v>5.9384305248726799</v>
      </c>
      <c r="P391" s="869">
        <v>6.2527334365908303</v>
      </c>
      <c r="Q391" s="2191">
        <v>6.36025326557764</v>
      </c>
      <c r="R391" s="544">
        <v>5.9718164727758802</v>
      </c>
      <c r="S391" s="1364">
        <v>5.7123397863166696</v>
      </c>
      <c r="T391" s="1365">
        <v>5.7869107930939299</v>
      </c>
    </row>
    <row r="392" spans="1:20">
      <c r="A392" t="s">
        <v>1207</v>
      </c>
      <c r="B392" s="6" t="str">
        <f>HYPERLINK("http://www.ncbi.nlm.nih.gov/gene/140709", "140709")</f>
        <v>140709</v>
      </c>
      <c r="C392" s="6" t="str">
        <f>HYPERLINK("http://www.ncbi.nlm.nih.gov/gene/136227", "136227")</f>
        <v>136227</v>
      </c>
      <c r="D392" t="str">
        <f>"Emid2"</f>
        <v>Emid2</v>
      </c>
      <c r="E392" t="s">
        <v>1208</v>
      </c>
      <c r="F392" t="s">
        <v>1237</v>
      </c>
      <c r="H392" s="517">
        <v>3</v>
      </c>
      <c r="I392" s="301">
        <v>8.2617344246304896</v>
      </c>
      <c r="J392" s="119">
        <v>8.0740896989058299</v>
      </c>
      <c r="K392" s="112">
        <v>8.2765628386489407</v>
      </c>
      <c r="L392" s="1838">
        <v>7.0948332057654904</v>
      </c>
      <c r="M392" s="700">
        <v>7.1426221402106496</v>
      </c>
      <c r="N392" s="699">
        <v>7.0361597855487599</v>
      </c>
      <c r="O392" s="1366">
        <v>6.8183414381733298</v>
      </c>
      <c r="P392" s="779">
        <v>7.1782798830259598</v>
      </c>
      <c r="Q392" s="2252">
        <v>6.8255733970779602</v>
      </c>
      <c r="R392" s="997">
        <v>6.72749591529087</v>
      </c>
      <c r="S392" s="864">
        <v>6.7698777978124003</v>
      </c>
      <c r="T392" s="1310">
        <v>6.7397790913098801</v>
      </c>
    </row>
    <row r="393" spans="1:20">
      <c r="A393" t="s">
        <v>1238</v>
      </c>
      <c r="B393" s="6" t="str">
        <f>HYPERLINK("http://www.ncbi.nlm.nih.gov/gene/381884", "381884")</f>
        <v>381884</v>
      </c>
      <c r="C393" s="6" t="str">
        <f>HYPERLINK("http://www.ncbi.nlm.nih.gov/gene/28968", "28968")</f>
        <v>28968</v>
      </c>
      <c r="D393" t="str">
        <f>"Slc6a16"</f>
        <v>Slc6a16</v>
      </c>
      <c r="E393" t="s">
        <v>1239</v>
      </c>
      <c r="F393" t="s">
        <v>90</v>
      </c>
      <c r="H393" s="517">
        <v>3</v>
      </c>
      <c r="I393" s="240">
        <v>4.2545723574748999</v>
      </c>
      <c r="J393" s="115">
        <v>4.3468892705438904</v>
      </c>
      <c r="K393" s="166">
        <v>4.1587239805893699</v>
      </c>
      <c r="L393" s="2088">
        <v>2.8443594961058598</v>
      </c>
      <c r="M393" s="622">
        <v>2.8460857173630898</v>
      </c>
      <c r="N393" s="1006">
        <v>2.9709126982554102</v>
      </c>
      <c r="O393" s="1069">
        <v>2.822216473194</v>
      </c>
      <c r="P393" s="793">
        <v>3.1291932202536601</v>
      </c>
      <c r="Q393" s="2218">
        <v>2.9254945748322299</v>
      </c>
      <c r="R393" s="604">
        <v>2.9584771971238202</v>
      </c>
      <c r="S393" s="1327">
        <v>2.46753205377837</v>
      </c>
      <c r="T393" s="1361">
        <v>3.0710911258550402</v>
      </c>
    </row>
    <row r="394" spans="1:20">
      <c r="A394" t="s">
        <v>1240</v>
      </c>
      <c r="B394" s="6" t="str">
        <f>HYPERLINK("http://www.ncbi.nlm.nih.gov/gene/320365", "320365")</f>
        <v>320365</v>
      </c>
      <c r="C394" s="6" t="str">
        <f>HYPERLINK("http://www.ncbi.nlm.nih.gov/gene/10129", "10129")</f>
        <v>10129</v>
      </c>
      <c r="D394" t="str">
        <f>"Fry"</f>
        <v>Fry</v>
      </c>
      <c r="E394" t="s">
        <v>1241</v>
      </c>
      <c r="F394" t="s">
        <v>90</v>
      </c>
      <c r="H394" s="517">
        <v>3</v>
      </c>
      <c r="I394" s="463">
        <v>5.9457196035716304</v>
      </c>
      <c r="J394" s="234">
        <v>5.7531617660661096</v>
      </c>
      <c r="K394" s="234">
        <v>5.7483356958684704</v>
      </c>
      <c r="L394" s="1854">
        <v>4.3637415775566897</v>
      </c>
      <c r="M394" s="1367">
        <v>4.1931853032930402</v>
      </c>
      <c r="N394" s="595">
        <v>4.3938033932184402</v>
      </c>
      <c r="O394" s="1256">
        <v>4.4538554555839998</v>
      </c>
      <c r="P394" s="550">
        <v>4.5375436344848703</v>
      </c>
      <c r="Q394" s="2182">
        <v>4.6048903742962803</v>
      </c>
      <c r="R394" s="604">
        <v>4.3904892289126698</v>
      </c>
      <c r="S394" s="1323">
        <v>3.8944898323806298</v>
      </c>
      <c r="T394" s="1368">
        <v>4.0170603066182702</v>
      </c>
    </row>
    <row r="395" spans="1:20">
      <c r="A395" t="s">
        <v>1242</v>
      </c>
      <c r="B395" s="6" t="str">
        <f>HYPERLINK("http://www.ncbi.nlm.nih.gov/gene/242553", "242553")</f>
        <v>242553</v>
      </c>
      <c r="C395" s="6" t="str">
        <f>HYPERLINK("http://www.ncbi.nlm.nih.gov/gene/163782", "163782")</f>
        <v>163782</v>
      </c>
      <c r="D395" t="str">
        <f>"Kank4"</f>
        <v>Kank4</v>
      </c>
      <c r="E395" t="s">
        <v>1243</v>
      </c>
      <c r="F395" t="s">
        <v>1212</v>
      </c>
      <c r="H395" s="517">
        <v>3</v>
      </c>
      <c r="I395" s="117">
        <v>6.3333835085552899</v>
      </c>
      <c r="J395" s="166">
        <v>6.2156465094501101</v>
      </c>
      <c r="K395" s="188">
        <v>6.3432526473302904</v>
      </c>
      <c r="L395" s="2068">
        <v>5.00533409883767</v>
      </c>
      <c r="M395" s="609">
        <v>5.1164449102989602</v>
      </c>
      <c r="N395" s="594">
        <v>5.0859018570313097</v>
      </c>
      <c r="O395" s="1112">
        <v>5.2402024766622102</v>
      </c>
      <c r="P395" s="1065">
        <v>5.2109420197461001</v>
      </c>
      <c r="Q395" s="2253">
        <v>5.2457770280364899</v>
      </c>
      <c r="R395" s="891">
        <v>5.0112943528809701</v>
      </c>
      <c r="S395" s="1134">
        <v>4.6635953525499003</v>
      </c>
      <c r="T395" s="735">
        <v>4.9519140492114904</v>
      </c>
    </row>
    <row r="396" spans="1:20">
      <c r="A396" t="s">
        <v>1213</v>
      </c>
      <c r="B396" s="6" t="str">
        <f>HYPERLINK("http://www.ncbi.nlm.nih.gov/gene/20272", "20272")</f>
        <v>20272</v>
      </c>
      <c r="C396" s="6" t="str">
        <f>HYPERLINK("http://www.ncbi.nlm.nih.gov/gene/6332", "6332")</f>
        <v>6332</v>
      </c>
      <c r="D396" t="str">
        <f>"Scn7a"</f>
        <v>Scn7a</v>
      </c>
      <c r="E396" t="s">
        <v>1214</v>
      </c>
      <c r="F396" t="s">
        <v>1215</v>
      </c>
      <c r="H396" s="517">
        <v>3</v>
      </c>
      <c r="I396" s="22">
        <v>5.1932686108150197</v>
      </c>
      <c r="J396" s="241">
        <v>4.5753094762512196</v>
      </c>
      <c r="K396" s="184">
        <v>4.72897951657297</v>
      </c>
      <c r="L396" s="1893">
        <v>3.1978508568825599</v>
      </c>
      <c r="M396" s="573">
        <v>3.1624476309279199</v>
      </c>
      <c r="N396" s="659">
        <v>3.28692438327317</v>
      </c>
      <c r="O396" s="1221">
        <v>3.4727682528503498</v>
      </c>
      <c r="P396" s="695">
        <v>3.4962475265727702</v>
      </c>
      <c r="Q396" s="1980">
        <v>3.5886959400139999</v>
      </c>
      <c r="R396" s="544">
        <v>3.1768718252901098</v>
      </c>
      <c r="S396" s="583">
        <v>3.2664867406828599</v>
      </c>
      <c r="T396" s="1369">
        <v>2.91056458021803</v>
      </c>
    </row>
    <row r="397" spans="1:20">
      <c r="A397" t="s">
        <v>1216</v>
      </c>
      <c r="B397" s="6" t="str">
        <f>HYPERLINK("http://www.ncbi.nlm.nih.gov/gene/320560", "320560")</f>
        <v>320560</v>
      </c>
      <c r="C397" s="6" t="str">
        <f>HYPERLINK("http://www.ncbi.nlm.nih.gov/gene/160518", "160518")</f>
        <v>160518</v>
      </c>
      <c r="D397" t="str">
        <f>"Dennd5b"</f>
        <v>Dennd5b</v>
      </c>
      <c r="E397" t="s">
        <v>1217</v>
      </c>
      <c r="F397" t="s">
        <v>37</v>
      </c>
      <c r="H397" s="517">
        <v>3</v>
      </c>
      <c r="I397" s="458">
        <v>7.5562339437386399</v>
      </c>
      <c r="J397" s="94">
        <v>7.4047405897173197</v>
      </c>
      <c r="K397" s="366">
        <v>7.2731242860994803</v>
      </c>
      <c r="L397" s="2220">
        <v>5.8546608403171101</v>
      </c>
      <c r="M397" s="1223">
        <v>5.7191673858261698</v>
      </c>
      <c r="N397" s="538">
        <v>5.79485043648691</v>
      </c>
      <c r="O397" s="1370">
        <v>5.8246011526119599</v>
      </c>
      <c r="P397" s="705">
        <v>6.0866962101995004</v>
      </c>
      <c r="Q397" s="2090">
        <v>6.1446032692753896</v>
      </c>
      <c r="R397" s="1367">
        <v>5.7084885188360497</v>
      </c>
      <c r="S397" s="1346">
        <v>5.6768948195792301</v>
      </c>
      <c r="T397" s="877">
        <v>5.6502332911295898</v>
      </c>
    </row>
    <row r="398" spans="1:20">
      <c r="A398" t="s">
        <v>1218</v>
      </c>
      <c r="B398" s="6" t="str">
        <f>HYPERLINK("http://www.ncbi.nlm.nih.gov/gene/21682", "21682")</f>
        <v>21682</v>
      </c>
      <c r="C398" s="6" t="str">
        <f>HYPERLINK("http://www.ncbi.nlm.nih.gov/gene/7006", "7006")</f>
        <v>7006</v>
      </c>
      <c r="D398" t="str">
        <f>"Tec"</f>
        <v>Tec</v>
      </c>
      <c r="E398" t="s">
        <v>1219</v>
      </c>
      <c r="F398" t="s">
        <v>1220</v>
      </c>
      <c r="G398" t="s">
        <v>1221</v>
      </c>
      <c r="H398" s="517">
        <v>3</v>
      </c>
      <c r="I398" s="208">
        <v>6.7351736754810796</v>
      </c>
      <c r="J398" s="222">
        <v>6.7136985594812701</v>
      </c>
      <c r="K398" s="458">
        <v>7.1224901520013599</v>
      </c>
      <c r="L398" s="1837">
        <v>3.8939122048522901</v>
      </c>
      <c r="M398" s="1002">
        <v>3.8875397636077902</v>
      </c>
      <c r="N398" s="1081">
        <v>3.9177315646499302</v>
      </c>
      <c r="O398" s="1278">
        <v>4.6105153833175301</v>
      </c>
      <c r="P398" s="853">
        <v>4.4829097872844503</v>
      </c>
      <c r="Q398" s="2157">
        <v>4.4018843849032496</v>
      </c>
      <c r="R398" s="641">
        <v>3.7680169310183298</v>
      </c>
      <c r="S398" s="537">
        <v>3.8710107968297498</v>
      </c>
      <c r="T398" s="1345">
        <v>3.6735099707879</v>
      </c>
    </row>
    <row r="399" spans="1:20">
      <c r="A399" t="s">
        <v>1222</v>
      </c>
      <c r="B399" s="6" t="str">
        <f>HYPERLINK("http://www.ncbi.nlm.nih.gov/gene/99712", "99712")</f>
        <v>99712</v>
      </c>
      <c r="C399" s="6" t="str">
        <f>HYPERLINK("http://www.ncbi.nlm.nih.gov/gene/10390", "10390")</f>
        <v>10390</v>
      </c>
      <c r="D399" t="str">
        <f>"Cept1"</f>
        <v>Cept1</v>
      </c>
      <c r="E399" t="s">
        <v>1223</v>
      </c>
      <c r="F399" t="s">
        <v>1224</v>
      </c>
      <c r="G399" t="s">
        <v>1225</v>
      </c>
      <c r="H399" s="517">
        <v>3</v>
      </c>
      <c r="I399" s="217">
        <v>7.9107560653495304</v>
      </c>
      <c r="J399" s="124">
        <v>7.9650545072016499</v>
      </c>
      <c r="K399" s="48">
        <v>8.0491619635842699</v>
      </c>
      <c r="L399" s="2092">
        <v>6.7985112527149898</v>
      </c>
      <c r="M399" s="832">
        <v>6.9656712341488598</v>
      </c>
      <c r="N399" s="636">
        <v>6.9297729409718301</v>
      </c>
      <c r="O399" s="1060">
        <v>6.9157512102961096</v>
      </c>
      <c r="P399" s="1028">
        <v>7.1025479332565098</v>
      </c>
      <c r="Q399" s="2167">
        <v>7.1386563563467504</v>
      </c>
      <c r="R399" s="1324">
        <v>6.8423918460406101</v>
      </c>
      <c r="S399" s="662">
        <v>6.8959541831482403</v>
      </c>
      <c r="T399" s="1299">
        <v>6.7341926992755798</v>
      </c>
    </row>
    <row r="400" spans="1:20">
      <c r="A400" t="s">
        <v>1226</v>
      </c>
      <c r="B400" s="6" t="str">
        <f>HYPERLINK("http://www.ncbi.nlm.nih.gov/gene/29856", "29856")</f>
        <v>29856</v>
      </c>
      <c r="C400" s="6" t="str">
        <f>HYPERLINK("http://www.ncbi.nlm.nih.gov/gene/6525", "6525")</f>
        <v>6525</v>
      </c>
      <c r="D400" t="str">
        <f>"Smtn"</f>
        <v>Smtn</v>
      </c>
      <c r="E400" t="s">
        <v>1227</v>
      </c>
      <c r="F400" t="s">
        <v>1228</v>
      </c>
      <c r="H400" s="517">
        <v>3</v>
      </c>
      <c r="I400" s="124">
        <v>8.1847240128802401</v>
      </c>
      <c r="J400" s="103">
        <v>8.0620820184340705</v>
      </c>
      <c r="K400" s="168">
        <v>8.3179011370105993</v>
      </c>
      <c r="L400" s="1846">
        <v>6.7803535868930096</v>
      </c>
      <c r="M400" s="629">
        <v>7.0210532802176999</v>
      </c>
      <c r="N400" s="636">
        <v>6.8791328223167101</v>
      </c>
      <c r="O400" s="1371">
        <v>7.0191378774926001</v>
      </c>
      <c r="P400" s="649">
        <v>7.1131682786087698</v>
      </c>
      <c r="Q400" s="2254">
        <v>7.05747076412288</v>
      </c>
      <c r="R400" s="992">
        <v>6.6849254729185299</v>
      </c>
      <c r="S400" s="1181">
        <v>6.7266832331605704</v>
      </c>
      <c r="T400" s="1298">
        <v>6.6023101785508898</v>
      </c>
    </row>
    <row r="401" spans="1:20">
      <c r="A401" t="s">
        <v>1229</v>
      </c>
      <c r="B401" s="6" t="str">
        <f>HYPERLINK("http://www.ncbi.nlm.nih.gov/gene/217310", "217310")</f>
        <v>217310</v>
      </c>
      <c r="C401" s="6" t="str">
        <f>HYPERLINK("http://www.ncbi.nlm.nih.gov/gene/283987", "283987")</f>
        <v>283987</v>
      </c>
      <c r="D401" t="str">
        <f>"C630004H02Rik"</f>
        <v>C630004H02Rik</v>
      </c>
      <c r="E401" t="s">
        <v>1230</v>
      </c>
      <c r="F401" t="s">
        <v>1231</v>
      </c>
      <c r="H401" s="517">
        <v>3</v>
      </c>
      <c r="I401" s="144">
        <v>6.54055398388138</v>
      </c>
      <c r="J401" s="222">
        <v>6.1240313300127296</v>
      </c>
      <c r="K401" s="85">
        <v>6.0064591413925301</v>
      </c>
      <c r="L401" s="1955">
        <v>4.3738578656629903</v>
      </c>
      <c r="M401" s="705">
        <v>4.6283524947369399</v>
      </c>
      <c r="N401" s="641">
        <v>4.1184528779815102</v>
      </c>
      <c r="O401" s="1280">
        <v>4.3563403373428304</v>
      </c>
      <c r="P401" s="738">
        <v>4.5132381416513701</v>
      </c>
      <c r="Q401" s="2057">
        <v>4.3298004401918204</v>
      </c>
      <c r="R401" s="712">
        <v>4.2855742009197098</v>
      </c>
      <c r="S401" s="583">
        <v>4.3042964394032603</v>
      </c>
      <c r="T401" s="1298">
        <v>3.93373024755839</v>
      </c>
    </row>
    <row r="402" spans="1:20">
      <c r="A402" t="s">
        <v>1232</v>
      </c>
      <c r="B402" s="6" t="str">
        <f>HYPERLINK("http://www.ncbi.nlm.nih.gov/gene/50781", "50781")</f>
        <v>50781</v>
      </c>
      <c r="C402" s="6" t="str">
        <f>HYPERLINK("http://www.ncbi.nlm.nih.gov/gene/27122", "27122")</f>
        <v>27122</v>
      </c>
      <c r="D402" t="str">
        <f>"Dkk3"</f>
        <v>Dkk3</v>
      </c>
      <c r="E402" t="s">
        <v>1233</v>
      </c>
      <c r="F402" t="s">
        <v>1234</v>
      </c>
      <c r="H402" s="517">
        <v>3</v>
      </c>
      <c r="I402" s="117">
        <v>9.4060146075850604</v>
      </c>
      <c r="J402" s="301">
        <v>9.4426444340801599</v>
      </c>
      <c r="K402" s="108">
        <v>9.3122601420311</v>
      </c>
      <c r="L402" s="2204">
        <v>6.9743888360112098</v>
      </c>
      <c r="M402" s="669">
        <v>6.9523022832871604</v>
      </c>
      <c r="N402" s="549">
        <v>6.9277962997154301</v>
      </c>
      <c r="O402" s="1256">
        <v>7.0803798650378198</v>
      </c>
      <c r="P402" s="533">
        <v>6.9009242460419902</v>
      </c>
      <c r="Q402" s="2133">
        <v>6.8063687238595296</v>
      </c>
      <c r="R402" s="567">
        <v>6.4484976569634904</v>
      </c>
      <c r="S402" s="663">
        <v>6.7232997571983004</v>
      </c>
      <c r="T402" s="1372">
        <v>6.6759338297586197</v>
      </c>
    </row>
    <row r="403" spans="1:20">
      <c r="A403" t="s">
        <v>1235</v>
      </c>
      <c r="B403" s="6" t="str">
        <f>HYPERLINK("http://www.ncbi.nlm.nih.gov/gene/21418", "21418")</f>
        <v>21418</v>
      </c>
      <c r="C403" s="6" t="str">
        <f>HYPERLINK("http://www.ncbi.nlm.nih.gov/gene/7020", "7020")</f>
        <v>7020</v>
      </c>
      <c r="D403" t="str">
        <f>"Tfap2a"</f>
        <v>Tfap2a</v>
      </c>
      <c r="E403" t="s">
        <v>1236</v>
      </c>
      <c r="F403" t="s">
        <v>1244</v>
      </c>
      <c r="H403" s="517">
        <v>3</v>
      </c>
      <c r="I403" s="117">
        <v>8.1962539405116903</v>
      </c>
      <c r="J403" s="118">
        <v>8.1788650664814195</v>
      </c>
      <c r="K403" s="240">
        <v>8.1350011634109105</v>
      </c>
      <c r="L403" s="1876">
        <v>5.7540097261708301</v>
      </c>
      <c r="M403" s="699">
        <v>5.7071876536790302</v>
      </c>
      <c r="N403" s="659">
        <v>5.4972828258656596</v>
      </c>
      <c r="O403" s="1351">
        <v>5.5197378369647803</v>
      </c>
      <c r="P403" s="627">
        <v>5.69141177454906</v>
      </c>
      <c r="Q403" s="2071">
        <v>5.3915399894871596</v>
      </c>
      <c r="R403" s="729">
        <v>4.9950457464478104</v>
      </c>
      <c r="S403" s="715">
        <v>5.3710205493663903</v>
      </c>
      <c r="T403" s="735">
        <v>5.2527328201306203</v>
      </c>
    </row>
    <row r="404" spans="1:20">
      <c r="A404" t="s">
        <v>1249</v>
      </c>
      <c r="B404" s="6" t="str">
        <f>HYPERLINK("http://www.ncbi.nlm.nih.gov/gene/16398", "16398")</f>
        <v>16398</v>
      </c>
      <c r="C404" s="6" t="str">
        <f>HYPERLINK("http://www.ncbi.nlm.nih.gov/gene/3673", "3673")</f>
        <v>3673</v>
      </c>
      <c r="D404" t="str">
        <f>"Itga2"</f>
        <v>Itga2</v>
      </c>
      <c r="E404" t="s">
        <v>1250</v>
      </c>
      <c r="F404" t="s">
        <v>1245</v>
      </c>
      <c r="G404" t="s">
        <v>1258</v>
      </c>
      <c r="H404" s="517">
        <v>3</v>
      </c>
      <c r="I404" s="40">
        <v>6.1206726255253097</v>
      </c>
      <c r="J404" s="132">
        <v>5.9654071732570397</v>
      </c>
      <c r="K404" s="196">
        <v>5.8163346374948102</v>
      </c>
      <c r="L404" s="2051">
        <v>2.93337493208029</v>
      </c>
      <c r="M404" s="683">
        <v>3.3502318478687001</v>
      </c>
      <c r="N404" s="566">
        <v>2.77251426038347</v>
      </c>
      <c r="O404" s="1056">
        <v>3.20921740023838</v>
      </c>
      <c r="P404" s="560">
        <v>3.2457779635353901</v>
      </c>
      <c r="Q404" s="2060">
        <v>3.3829084567868501</v>
      </c>
      <c r="R404" s="993">
        <v>2.7252072342038698</v>
      </c>
      <c r="S404" s="715">
        <v>2.95837736284316</v>
      </c>
      <c r="T404" s="601">
        <v>2.9636724745378999</v>
      </c>
    </row>
    <row r="405" spans="1:20">
      <c r="A405" t="s">
        <v>1259</v>
      </c>
      <c r="B405" s="6" t="str">
        <f>HYPERLINK("http://www.ncbi.nlm.nih.gov/gene/19224", "19224")</f>
        <v>19224</v>
      </c>
      <c r="C405" s="6" t="str">
        <f>HYPERLINK("http://www.ncbi.nlm.nih.gov/gene/5742", "5742")</f>
        <v>5742</v>
      </c>
      <c r="D405" t="str">
        <f>"Ptgs1"</f>
        <v>Ptgs1</v>
      </c>
      <c r="E405" t="s">
        <v>1260</v>
      </c>
      <c r="F405" t="s">
        <v>1246</v>
      </c>
      <c r="G405" t="s">
        <v>1247</v>
      </c>
      <c r="H405" s="517">
        <v>3</v>
      </c>
      <c r="I405" s="301">
        <v>5.98287093394151</v>
      </c>
      <c r="J405" s="102">
        <v>5.7703554388793803</v>
      </c>
      <c r="K405" s="112">
        <v>6.0072915965606697</v>
      </c>
      <c r="L405" s="2251">
        <v>3.5906643211271398</v>
      </c>
      <c r="M405" s="669">
        <v>3.4888911661507298</v>
      </c>
      <c r="N405" s="572">
        <v>3.2754791481316099</v>
      </c>
      <c r="O405" s="989">
        <v>3.4550661391127901</v>
      </c>
      <c r="P405" s="699">
        <v>3.60742092824889</v>
      </c>
      <c r="Q405" s="2053">
        <v>3.5165841732651599</v>
      </c>
      <c r="R405" s="997">
        <v>3.0028147702819501</v>
      </c>
      <c r="S405" s="1346">
        <v>3.13252197383258</v>
      </c>
      <c r="T405" s="574">
        <v>3.2747250117971198</v>
      </c>
    </row>
    <row r="406" spans="1:20">
      <c r="A406" t="s">
        <v>1248</v>
      </c>
      <c r="B406" s="6" t="str">
        <f>HYPERLINK("http://www.ncbi.nlm.nih.gov/gene/13717", "13717")</f>
        <v>13717</v>
      </c>
      <c r="C406" s="6" t="str">
        <f>HYPERLINK("http://www.ncbi.nlm.nih.gov/gene/", "")</f>
        <v/>
      </c>
      <c r="D406" t="str">
        <f>"Eln"</f>
        <v>Eln</v>
      </c>
      <c r="E406" t="s">
        <v>1264</v>
      </c>
      <c r="F406" t="s">
        <v>1265</v>
      </c>
      <c r="G406" t="s">
        <v>563</v>
      </c>
      <c r="H406" s="517">
        <v>3</v>
      </c>
      <c r="I406" s="203">
        <v>8.8638608983474292</v>
      </c>
      <c r="J406" s="118">
        <v>8.7841112586454297</v>
      </c>
      <c r="K406" s="240">
        <v>8.7245509023061203</v>
      </c>
      <c r="L406" s="1882">
        <v>5.6952981161091198</v>
      </c>
      <c r="M406" s="583">
        <v>5.5831863322687196</v>
      </c>
      <c r="N406" s="1367">
        <v>5.37218694862971</v>
      </c>
      <c r="O406" s="989">
        <v>5.7178019113085101</v>
      </c>
      <c r="P406" s="699">
        <v>5.8815791041509202</v>
      </c>
      <c r="Q406" s="2217">
        <v>5.76298585544472</v>
      </c>
      <c r="R406" s="688">
        <v>5.3510342579472097</v>
      </c>
      <c r="S406" s="572">
        <v>5.4760736115777799</v>
      </c>
      <c r="T406" s="601">
        <v>5.4968539216142398</v>
      </c>
    </row>
    <row r="407" spans="1:20">
      <c r="A407" t="s">
        <v>1266</v>
      </c>
      <c r="B407" s="6" t="str">
        <f>HYPERLINK("http://www.ncbi.nlm.nih.gov/gene/74134", "74134")</f>
        <v>74134</v>
      </c>
      <c r="C407" s="6" t="str">
        <f>HYPERLINK("http://www.ncbi.nlm.nih.gov/gene/29785", "29785")</f>
        <v>29785</v>
      </c>
      <c r="D407" t="str">
        <f>"Cyp2s1"</f>
        <v>Cyp2s1</v>
      </c>
      <c r="E407" t="s">
        <v>1267</v>
      </c>
      <c r="F407" t="s">
        <v>1251</v>
      </c>
      <c r="G407" t="s">
        <v>1252</v>
      </c>
      <c r="H407" s="517">
        <v>3</v>
      </c>
      <c r="I407" s="301">
        <v>7.0160693334685398</v>
      </c>
      <c r="J407" s="267">
        <v>6.8901331220102398</v>
      </c>
      <c r="K407" s="240">
        <v>6.9109370518518203</v>
      </c>
      <c r="L407" s="2255">
        <v>4.5787304325575597</v>
      </c>
      <c r="M407" s="669">
        <v>4.4294794795316204</v>
      </c>
      <c r="N407" s="1332">
        <v>3.8382857352850501</v>
      </c>
      <c r="O407" s="1106">
        <v>4.5413336562026201</v>
      </c>
      <c r="P407" s="1006">
        <v>4.4669314653030101</v>
      </c>
      <c r="Q407" s="2225">
        <v>4.5762803871364799</v>
      </c>
      <c r="R407" s="1346">
        <v>4.0654467936900902</v>
      </c>
      <c r="S407" s="859">
        <v>3.9714987457949902</v>
      </c>
      <c r="T407" s="1358">
        <v>4.3414067572182198</v>
      </c>
    </row>
    <row r="408" spans="1:20">
      <c r="A408" t="s">
        <v>1253</v>
      </c>
      <c r="B408" s="6" t="str">
        <f>HYPERLINK("http://www.ncbi.nlm.nih.gov/gene/71660", "71660")</f>
        <v>71660</v>
      </c>
      <c r="C408" s="6" t="str">
        <f>HYPERLINK("http://www.ncbi.nlm.nih.gov/gene/5919", "5919")</f>
        <v>5919</v>
      </c>
      <c r="D408" t="str">
        <f>"Rarres2"</f>
        <v>Rarres2</v>
      </c>
      <c r="E408" t="s">
        <v>1254</v>
      </c>
      <c r="F408" t="s">
        <v>1255</v>
      </c>
      <c r="H408" s="517">
        <v>3</v>
      </c>
      <c r="I408" s="115">
        <v>6.6497747043958801</v>
      </c>
      <c r="J408" s="101">
        <v>6.7764102027716202</v>
      </c>
      <c r="K408" s="478">
        <v>6.1318446814793202</v>
      </c>
      <c r="L408" s="2243">
        <v>4.6212080978664396</v>
      </c>
      <c r="M408" s="529">
        <v>4.6471798684119801</v>
      </c>
      <c r="N408" s="1324">
        <v>4.2485896433016599</v>
      </c>
      <c r="O408" s="1039">
        <v>4.4145851081639096</v>
      </c>
      <c r="P408" s="694">
        <v>4.6926149487567903</v>
      </c>
      <c r="Q408" s="2083">
        <v>4.5711657627870199</v>
      </c>
      <c r="R408" s="1087">
        <v>4.0689708463814496</v>
      </c>
      <c r="S408" s="566">
        <v>4.1959176459294802</v>
      </c>
      <c r="T408" s="843">
        <v>4.2923864091412502</v>
      </c>
    </row>
    <row r="409" spans="1:20">
      <c r="A409" t="s">
        <v>1256</v>
      </c>
      <c r="B409" s="6" t="str">
        <f>HYPERLINK("http://www.ncbi.nlm.nih.gov/gene/13591", "13591")</f>
        <v>13591</v>
      </c>
      <c r="C409" s="6" t="str">
        <f>HYPERLINK("http://www.ncbi.nlm.nih.gov/gene/1879", "1879")</f>
        <v>1879</v>
      </c>
      <c r="D409" t="str">
        <f>"Ebf1"</f>
        <v>Ebf1</v>
      </c>
      <c r="E409" t="s">
        <v>1257</v>
      </c>
      <c r="F409" t="s">
        <v>1274</v>
      </c>
      <c r="H409" s="517">
        <v>3</v>
      </c>
      <c r="I409" s="223">
        <v>5.9650360452017104</v>
      </c>
      <c r="J409" s="366">
        <v>5.9886126083172497</v>
      </c>
      <c r="K409" s="159">
        <v>6.5417971720507504</v>
      </c>
      <c r="L409" s="1848">
        <v>3.60966821180791</v>
      </c>
      <c r="M409" s="1010">
        <v>2.85481476082626</v>
      </c>
      <c r="N409" s="555">
        <v>3.1035537999659302</v>
      </c>
      <c r="O409" s="1112">
        <v>3.9517184223094399</v>
      </c>
      <c r="P409" s="1207">
        <v>4.1741498148019502</v>
      </c>
      <c r="Q409" s="2256">
        <v>4.0018130892486399</v>
      </c>
      <c r="R409" s="715">
        <v>3.4481189746144998</v>
      </c>
      <c r="S409" s="636">
        <v>3.5657260728215499</v>
      </c>
      <c r="T409" s="843">
        <v>3.3967152951543098</v>
      </c>
    </row>
    <row r="410" spans="1:20">
      <c r="A410" t="s">
        <v>1275</v>
      </c>
      <c r="B410" s="6" t="str">
        <f>HYPERLINK("http://www.ncbi.nlm.nih.gov/gene/214084", "214084")</f>
        <v>214084</v>
      </c>
      <c r="C410" s="6" t="str">
        <f>HYPERLINK("http://www.ncbi.nlm.nih.gov/gene/6571", "6571")</f>
        <v>6571</v>
      </c>
      <c r="D410" t="str">
        <f>"Slc18a2"</f>
        <v>Slc18a2</v>
      </c>
      <c r="E410" t="s">
        <v>1276</v>
      </c>
      <c r="F410" t="s">
        <v>1261</v>
      </c>
      <c r="G410" t="s">
        <v>193</v>
      </c>
      <c r="H410" s="517">
        <v>3</v>
      </c>
      <c r="I410" s="331">
        <v>5.1663420105454296</v>
      </c>
      <c r="J410" s="201">
        <v>5.15550883909399</v>
      </c>
      <c r="K410" s="93">
        <v>5.3795014970792696</v>
      </c>
      <c r="L410" s="1923">
        <v>3.7563202754775098</v>
      </c>
      <c r="M410" s="1281">
        <v>3.1266081658304001</v>
      </c>
      <c r="N410" s="544">
        <v>3.3234390339468902</v>
      </c>
      <c r="O410" s="1373">
        <v>3.8498045320848502</v>
      </c>
      <c r="P410" s="798">
        <v>3.9320626468801501</v>
      </c>
      <c r="Q410" s="2257">
        <v>3.67791137904829</v>
      </c>
      <c r="R410" s="1223">
        <v>3.3104996055025802</v>
      </c>
      <c r="S410" s="1308">
        <v>3.02750106072101</v>
      </c>
      <c r="T410" s="1333">
        <v>3.11648475411589</v>
      </c>
    </row>
    <row r="411" spans="1:20">
      <c r="A411" t="s">
        <v>1262</v>
      </c>
      <c r="B411" s="6" t="str">
        <f>HYPERLINK("http://www.ncbi.nlm.nih.gov/gene/216859", "216859")</f>
        <v>216859</v>
      </c>
      <c r="C411" s="6" t="str">
        <f>HYPERLINK("http://www.ncbi.nlm.nih.gov/gene/9744", "9744")</f>
        <v>9744</v>
      </c>
      <c r="D411" t="str">
        <f>"Acap1"</f>
        <v>Acap1</v>
      </c>
      <c r="E411" t="s">
        <v>1263</v>
      </c>
      <c r="F411" t="s">
        <v>1289</v>
      </c>
      <c r="G411" t="s">
        <v>1290</v>
      </c>
      <c r="H411" s="517">
        <v>3</v>
      </c>
      <c r="I411" s="216">
        <v>4.3741584945938001</v>
      </c>
      <c r="J411" s="85">
        <v>4.2413042308484803</v>
      </c>
      <c r="K411" s="318">
        <v>4.5624876381478003</v>
      </c>
      <c r="L411" s="1952">
        <v>2.6981314452346199</v>
      </c>
      <c r="M411" s="1087">
        <v>2.5701706092196699</v>
      </c>
      <c r="N411" s="891">
        <v>2.7702848077968998</v>
      </c>
      <c r="O411" s="1069">
        <v>2.7469302238753599</v>
      </c>
      <c r="P411" s="1126">
        <v>3.4408112967424298</v>
      </c>
      <c r="Q411" s="2158">
        <v>3.0867911590777299</v>
      </c>
      <c r="R411" s="537">
        <v>2.7261272385586</v>
      </c>
      <c r="S411" s="859">
        <v>2.62041976309574</v>
      </c>
      <c r="T411" s="1374">
        <v>2.9189526807167798</v>
      </c>
    </row>
    <row r="412" spans="1:20">
      <c r="A412" t="s">
        <v>1291</v>
      </c>
      <c r="B412" s="6" t="str">
        <f>HYPERLINK("http://www.ncbi.nlm.nih.gov/gene/13924", "13924")</f>
        <v>13924</v>
      </c>
      <c r="C412" s="6" t="str">
        <f>HYPERLINK("http://www.ncbi.nlm.nih.gov/gene/", "")</f>
        <v/>
      </c>
      <c r="D412" t="str">
        <f>"Ptprv"</f>
        <v>Ptprv</v>
      </c>
      <c r="E412" t="s">
        <v>1292</v>
      </c>
      <c r="F412" t="s">
        <v>1268</v>
      </c>
      <c r="H412" s="517">
        <v>3</v>
      </c>
      <c r="I412" s="94">
        <v>5.4414255392999697</v>
      </c>
      <c r="J412" s="208">
        <v>5.36940765513621</v>
      </c>
      <c r="K412" s="143">
        <v>5.3933316016065804</v>
      </c>
      <c r="L412" s="1998">
        <v>3.8594967622926402</v>
      </c>
      <c r="M412" s="695">
        <v>3.9499789427454002</v>
      </c>
      <c r="N412" s="561">
        <v>3.5425444328091502</v>
      </c>
      <c r="O412" s="1229">
        <v>4.0260694030670896</v>
      </c>
      <c r="P412" s="854">
        <v>4.0397674773273797</v>
      </c>
      <c r="Q412" s="2258">
        <v>4.0326861385707797</v>
      </c>
      <c r="R412" s="1340">
        <v>3.4285819983344501</v>
      </c>
      <c r="S412" s="1340">
        <v>3.4308160067479001</v>
      </c>
      <c r="T412" s="1375">
        <v>3.19952857235551</v>
      </c>
    </row>
    <row r="413" spans="1:20">
      <c r="A413" t="s">
        <v>1269</v>
      </c>
      <c r="B413" s="6" t="str">
        <f>HYPERLINK("http://www.ncbi.nlm.nih.gov/gene/109978", "109978")</f>
        <v>109978</v>
      </c>
      <c r="C413" s="6" t="str">
        <f>HYPERLINK("http://www.ncbi.nlm.nih.gov/gene/420", "420")</f>
        <v>420</v>
      </c>
      <c r="D413" t="str">
        <f>"Art4"</f>
        <v>Art4</v>
      </c>
      <c r="E413" t="s">
        <v>1270</v>
      </c>
      <c r="F413" t="s">
        <v>1271</v>
      </c>
      <c r="H413" s="517">
        <v>3</v>
      </c>
      <c r="I413" s="137">
        <v>7.1382765752815098</v>
      </c>
      <c r="J413" s="463">
        <v>7.4027160143045503</v>
      </c>
      <c r="K413" s="191">
        <v>6.9767986707279803</v>
      </c>
      <c r="L413" s="1896">
        <v>4.7084133870649101</v>
      </c>
      <c r="M413" s="670">
        <v>4.8632167829442396</v>
      </c>
      <c r="N413" s="1029">
        <v>4.0881185496142898</v>
      </c>
      <c r="O413" s="1329">
        <v>5.0483895674393402</v>
      </c>
      <c r="P413" s="700">
        <v>5.0067313948677201</v>
      </c>
      <c r="Q413" s="2062">
        <v>4.8490446420093702</v>
      </c>
      <c r="R413" s="734">
        <v>4.4081048554255</v>
      </c>
      <c r="S413" s="1029">
        <v>4.0844041440575101</v>
      </c>
      <c r="T413" s="1376">
        <v>4.0286561588245204</v>
      </c>
    </row>
    <row r="414" spans="1:20">
      <c r="A414" t="s">
        <v>1272</v>
      </c>
      <c r="B414" s="6" t="str">
        <f>HYPERLINK("http://www.ncbi.nlm.nih.gov/gene/21952", "21952")</f>
        <v>21952</v>
      </c>
      <c r="C414" s="6" t="str">
        <f>HYPERLINK("http://www.ncbi.nlm.nih.gov/gene/7135", "7135")</f>
        <v>7135</v>
      </c>
      <c r="D414" t="str">
        <f>"Tnni1"</f>
        <v>Tnni1</v>
      </c>
      <c r="E414" t="s">
        <v>1273</v>
      </c>
      <c r="F414" t="s">
        <v>1277</v>
      </c>
      <c r="H414" s="517">
        <v>3</v>
      </c>
      <c r="I414" s="119">
        <v>8.0992507833922307</v>
      </c>
      <c r="J414" s="240">
        <v>8.4483844314291492</v>
      </c>
      <c r="K414" s="196">
        <v>8.3254716062471292</v>
      </c>
      <c r="L414" s="2048">
        <v>5.8021743507965198</v>
      </c>
      <c r="M414" s="869">
        <v>5.6584013561961699</v>
      </c>
      <c r="N414" s="864">
        <v>4.8039309205819798</v>
      </c>
      <c r="O414" s="1377">
        <v>5.9898019972799199</v>
      </c>
      <c r="P414" s="746">
        <v>5.9793389903446297</v>
      </c>
      <c r="Q414" s="2087">
        <v>5.8862910421343999</v>
      </c>
      <c r="R414" s="1364">
        <v>4.3851611524521896</v>
      </c>
      <c r="S414" s="722">
        <v>4.3183288341929797</v>
      </c>
      <c r="T414" s="1378">
        <v>4.3955810422697699</v>
      </c>
    </row>
    <row r="415" spans="1:20">
      <c r="A415" t="s">
        <v>1278</v>
      </c>
      <c r="B415" s="6" t="str">
        <f>HYPERLINK("http://www.ncbi.nlm.nih.gov/gene/19289", "19289")</f>
        <v>19289</v>
      </c>
      <c r="C415" s="6" t="str">
        <f>HYPERLINK("http://www.ncbi.nlm.nih.gov/gene/9543", "9543")</f>
        <v>9543</v>
      </c>
      <c r="D415" t="str">
        <f>"Igdcc3"</f>
        <v>Igdcc3</v>
      </c>
      <c r="E415" t="s">
        <v>1279</v>
      </c>
      <c r="F415" t="s">
        <v>1280</v>
      </c>
      <c r="H415" s="517">
        <v>3</v>
      </c>
      <c r="I415" s="116">
        <v>6.2295150402025898</v>
      </c>
      <c r="J415" s="316">
        <v>6.1473141764530004</v>
      </c>
      <c r="K415" s="188">
        <v>6.3308581982776397</v>
      </c>
      <c r="L415" s="2175">
        <v>4.7560580857112402</v>
      </c>
      <c r="M415" s="676">
        <v>4.9098757844290599</v>
      </c>
      <c r="N415" s="872">
        <v>4.5541803601922703</v>
      </c>
      <c r="O415" s="969">
        <v>5.2935476990918104</v>
      </c>
      <c r="P415" s="836">
        <v>5.2027417435048999</v>
      </c>
      <c r="Q415" s="2058">
        <v>4.81611602004691</v>
      </c>
      <c r="R415" s="992">
        <v>4.5441817559692703</v>
      </c>
      <c r="S415" s="997">
        <v>4.5406022248579099</v>
      </c>
      <c r="T415" s="1379">
        <v>4.4396288549375296</v>
      </c>
    </row>
    <row r="416" spans="1:20">
      <c r="A416" t="s">
        <v>1281</v>
      </c>
      <c r="B416" s="6" t="str">
        <f>HYPERLINK("http://www.ncbi.nlm.nih.gov/gene/16773", "16773")</f>
        <v>16773</v>
      </c>
      <c r="C416" s="6" t="str">
        <f>HYPERLINK("http://www.ncbi.nlm.nih.gov/gene/3908", "3908")</f>
        <v>3908</v>
      </c>
      <c r="D416" t="str">
        <f>"Lama2"</f>
        <v>Lama2</v>
      </c>
      <c r="E416" t="s">
        <v>1282</v>
      </c>
      <c r="F416" t="s">
        <v>1283</v>
      </c>
      <c r="G416" t="s">
        <v>1284</v>
      </c>
      <c r="H416" s="517">
        <v>3</v>
      </c>
      <c r="I416" s="335">
        <v>5.8538457176989196</v>
      </c>
      <c r="J416" s="457">
        <v>5.40034372963283</v>
      </c>
      <c r="K416" s="132">
        <v>5.6985347198459699</v>
      </c>
      <c r="L416" s="1840">
        <v>4.1684565376902301</v>
      </c>
      <c r="M416" s="549">
        <v>3.99774439854817</v>
      </c>
      <c r="N416" s="859">
        <v>3.71261111843876</v>
      </c>
      <c r="O416" s="1380">
        <v>4.2119604145929603</v>
      </c>
      <c r="P416" s="906">
        <v>4.1455586509743796</v>
      </c>
      <c r="Q416" s="2111">
        <v>4.2402274207690898</v>
      </c>
      <c r="R416" s="1109">
        <v>3.7177062447899298</v>
      </c>
      <c r="S416" s="1223">
        <v>3.81733185763385</v>
      </c>
      <c r="T416" s="1378">
        <v>3.5104784490971999</v>
      </c>
    </row>
    <row r="417" spans="1:20">
      <c r="A417" t="s">
        <v>1285</v>
      </c>
      <c r="B417" s="6" t="str">
        <f>HYPERLINK("http://www.ncbi.nlm.nih.gov/gene/230752", "230752")</f>
        <v>230752</v>
      </c>
      <c r="C417" s="6" t="str">
        <f>HYPERLINK("http://www.ncbi.nlm.nih.gov/gene/55194", "55194")</f>
        <v>55194</v>
      </c>
      <c r="D417" t="str">
        <f>"Fam176b"</f>
        <v>Fam176b</v>
      </c>
      <c r="E417" t="s">
        <v>1286</v>
      </c>
      <c r="F417" t="s">
        <v>332</v>
      </c>
      <c r="H417" s="517">
        <v>3</v>
      </c>
      <c r="I417" s="203">
        <v>7.5727306363839597</v>
      </c>
      <c r="J417" s="254">
        <v>7.3424432194363201</v>
      </c>
      <c r="K417" s="118">
        <v>7.5405960140174804</v>
      </c>
      <c r="L417" s="2004">
        <v>6.6225378629580298</v>
      </c>
      <c r="M417" s="1291">
        <v>6.4085953658539596</v>
      </c>
      <c r="N417" s="609">
        <v>6.3456724438398897</v>
      </c>
      <c r="O417" s="1279">
        <v>6.5051988902451203</v>
      </c>
      <c r="P417" s="683">
        <v>6.4049212253032897</v>
      </c>
      <c r="Q417" s="2077">
        <v>6.39511123888005</v>
      </c>
      <c r="R417" s="1153">
        <v>6.0179677019288196</v>
      </c>
      <c r="S417" s="1364">
        <v>5.9792033997807703</v>
      </c>
      <c r="T417" s="1381">
        <v>6.0079626619348803</v>
      </c>
    </row>
    <row r="418" spans="1:20">
      <c r="A418" t="s">
        <v>1287</v>
      </c>
      <c r="B418" s="6" t="str">
        <f>HYPERLINK("http://www.ncbi.nlm.nih.gov/gene/13850", "13850")</f>
        <v>13850</v>
      </c>
      <c r="C418" s="6" t="str">
        <f>HYPERLINK("http://www.ncbi.nlm.nih.gov/gene/2053", "2053")</f>
        <v>2053</v>
      </c>
      <c r="D418" t="str">
        <f>"Ephx2"</f>
        <v>Ephx2</v>
      </c>
      <c r="E418" t="s">
        <v>1288</v>
      </c>
      <c r="F418" t="s">
        <v>1293</v>
      </c>
      <c r="G418" t="s">
        <v>1294</v>
      </c>
      <c r="H418" s="517">
        <v>3</v>
      </c>
      <c r="I418" s="166">
        <v>4.06908022489504</v>
      </c>
      <c r="J418" s="280">
        <v>3.98285336938731</v>
      </c>
      <c r="K418" s="115">
        <v>4.2447396703046296</v>
      </c>
      <c r="L418" s="1900">
        <v>3.16537080435055</v>
      </c>
      <c r="M418" s="892">
        <v>2.9258867108187698</v>
      </c>
      <c r="N418" s="1343">
        <v>2.80204554232661</v>
      </c>
      <c r="O418" s="1329">
        <v>3.0792315243629398</v>
      </c>
      <c r="P418" s="550">
        <v>3.0218381264244001</v>
      </c>
      <c r="Q418" s="2259">
        <v>3.2119064491551299</v>
      </c>
      <c r="R418" s="1167">
        <v>2.5086739182748699</v>
      </c>
      <c r="S418" s="987">
        <v>2.5241449384694099</v>
      </c>
      <c r="T418" s="1313">
        <v>2.4227780492993598</v>
      </c>
    </row>
    <row r="419" spans="1:20">
      <c r="A419" t="s">
        <v>1295</v>
      </c>
      <c r="B419" s="6" t="str">
        <f>HYPERLINK("http://www.ncbi.nlm.nih.gov/gene/232680", "232680")</f>
        <v>232680</v>
      </c>
      <c r="C419" s="6" t="str">
        <f>HYPERLINK("http://www.ncbi.nlm.nih.gov/gene/1358", "1358")</f>
        <v>1358</v>
      </c>
      <c r="D419" t="str">
        <f>"Cpa2"</f>
        <v>Cpa2</v>
      </c>
      <c r="E419" t="s">
        <v>1296</v>
      </c>
      <c r="F419" t="s">
        <v>1297</v>
      </c>
      <c r="G419" t="s">
        <v>1298</v>
      </c>
      <c r="H419" s="517">
        <v>3</v>
      </c>
      <c r="I419" s="166">
        <v>4.0766863254860999</v>
      </c>
      <c r="J419" s="318">
        <v>4.3537458151115001</v>
      </c>
      <c r="K419" s="216">
        <v>4.14595469612809</v>
      </c>
      <c r="L419" s="2260">
        <v>2.7838668040549202</v>
      </c>
      <c r="M419" s="655">
        <v>2.59333616469248</v>
      </c>
      <c r="N419" s="537">
        <v>2.3254285250054201</v>
      </c>
      <c r="O419" s="1032">
        <v>2.7312540788859598</v>
      </c>
      <c r="P419" s="670">
        <v>2.6470547094672101</v>
      </c>
      <c r="Q419" s="2044">
        <v>2.2433178462714398</v>
      </c>
      <c r="R419" s="864">
        <v>2.2403583231414701</v>
      </c>
      <c r="S419" s="1308">
        <v>2.05373102174089</v>
      </c>
      <c r="T419" s="1290">
        <v>2.4115330683257001</v>
      </c>
    </row>
    <row r="420" spans="1:20">
      <c r="A420" t="s">
        <v>1299</v>
      </c>
      <c r="B420" s="6" t="str">
        <f>HYPERLINK("http://www.ncbi.nlm.nih.gov/gene/20556", "20556")</f>
        <v>20556</v>
      </c>
      <c r="C420" s="6" t="str">
        <f>HYPERLINK("http://www.ncbi.nlm.nih.gov/gene/", "")</f>
        <v/>
      </c>
      <c r="D420" t="str">
        <f>"Slfn2"</f>
        <v>Slfn2</v>
      </c>
      <c r="E420" t="s">
        <v>1300</v>
      </c>
      <c r="F420" t="s">
        <v>1301</v>
      </c>
      <c r="H420" s="517">
        <v>3</v>
      </c>
      <c r="I420" s="94">
        <v>7.0614381432091804</v>
      </c>
      <c r="J420" s="132">
        <v>7.1065667811496596</v>
      </c>
      <c r="K420" s="143">
        <v>6.9746657176292004</v>
      </c>
      <c r="L420" s="2255">
        <v>4.0811912516245004</v>
      </c>
      <c r="M420" s="705">
        <v>4.2924670537457903</v>
      </c>
      <c r="N420" s="699">
        <v>4.0452555790772404</v>
      </c>
      <c r="O420" s="1216">
        <v>4.2109240750229899</v>
      </c>
      <c r="P420" s="699">
        <v>4.0543404082201304</v>
      </c>
      <c r="Q420" s="2056">
        <v>3.3427385758194998</v>
      </c>
      <c r="R420" s="1340">
        <v>3.2166096408123099</v>
      </c>
      <c r="S420" s="1153">
        <v>3.0400187525701798</v>
      </c>
      <c r="T420" s="1372">
        <v>3.5333852142457398</v>
      </c>
    </row>
    <row r="421" spans="1:20">
      <c r="A421" t="s">
        <v>1302</v>
      </c>
      <c r="B421" s="6" t="str">
        <f>HYPERLINK("http://www.ncbi.nlm.nih.gov/gene/193385", "193385")</f>
        <v>193385</v>
      </c>
      <c r="C421" s="6" t="str">
        <f>HYPERLINK("http://www.ncbi.nlm.nih.gov/gene/9750", "9750")</f>
        <v>9750</v>
      </c>
      <c r="D421" t="str">
        <f>"Fam65b"</f>
        <v>Fam65b</v>
      </c>
      <c r="E421" t="s">
        <v>1303</v>
      </c>
      <c r="F421" t="s">
        <v>90</v>
      </c>
      <c r="H421" s="517">
        <v>3</v>
      </c>
      <c r="I421" s="103">
        <v>4.84897732120168</v>
      </c>
      <c r="J421" s="469">
        <v>5.19129226334704</v>
      </c>
      <c r="K421" s="77">
        <v>4.8039895368166503</v>
      </c>
      <c r="L421" s="2129">
        <v>4.0448685433906402</v>
      </c>
      <c r="M421" s="876">
        <v>3.4152782982098202</v>
      </c>
      <c r="N421" s="1006">
        <v>3.6817778639587302</v>
      </c>
      <c r="O421" s="1382">
        <v>3.91866212689439</v>
      </c>
      <c r="P421" s="695">
        <v>3.7928981136196498</v>
      </c>
      <c r="Q421" s="2073">
        <v>3.5747577154672898</v>
      </c>
      <c r="R421" s="872">
        <v>3.4062030966769998</v>
      </c>
      <c r="S421" s="1191">
        <v>3.3891439780264698</v>
      </c>
      <c r="T421" s="1298">
        <v>3.3208124528768699</v>
      </c>
    </row>
    <row r="422" spans="1:20">
      <c r="A422" t="s">
        <v>1304</v>
      </c>
      <c r="B422" s="6" t="str">
        <f>HYPERLINK("http://www.ncbi.nlm.nih.gov/gene/26410", "26410")</f>
        <v>26410</v>
      </c>
      <c r="C422" s="6" t="str">
        <f>HYPERLINK("http://www.ncbi.nlm.nih.gov/gene/1326", "1326")</f>
        <v>1326</v>
      </c>
      <c r="D422" t="str">
        <f>"Map3k8"</f>
        <v>Map3k8</v>
      </c>
      <c r="E422" t="s">
        <v>1305</v>
      </c>
      <c r="F422" t="s">
        <v>1306</v>
      </c>
      <c r="G422" t="s">
        <v>1307</v>
      </c>
      <c r="H422" s="517">
        <v>3</v>
      </c>
      <c r="I422" s="56">
        <v>5.6885527167352299</v>
      </c>
      <c r="J422" s="152">
        <v>5.5681825534308</v>
      </c>
      <c r="K422" s="368">
        <v>5.2221584326046804</v>
      </c>
      <c r="L422" s="2261">
        <v>4.35186437429038</v>
      </c>
      <c r="M422" s="892">
        <v>4.1111232130724797</v>
      </c>
      <c r="N422" s="560">
        <v>4.0936992192387498</v>
      </c>
      <c r="O422" s="1094">
        <v>4.1949406825127404</v>
      </c>
      <c r="P422" s="599">
        <v>4.0611872231191901</v>
      </c>
      <c r="Q422" s="2217">
        <v>4.0704602272456496</v>
      </c>
      <c r="R422" s="729">
        <v>3.7302448934187198</v>
      </c>
      <c r="S422" s="1340">
        <v>3.7544826630873298</v>
      </c>
      <c r="T422" s="1365">
        <v>3.7026251594846702</v>
      </c>
    </row>
    <row r="423" spans="1:20">
      <c r="A423" t="s">
        <v>1308</v>
      </c>
      <c r="B423" s="6" t="str">
        <f>HYPERLINK("http://www.ncbi.nlm.nih.gov/gene/12822", "12822")</f>
        <v>12822</v>
      </c>
      <c r="C423" s="6" t="str">
        <f>HYPERLINK("http://www.ncbi.nlm.nih.gov/gene/80781", "80781")</f>
        <v>80781</v>
      </c>
      <c r="D423" t="str">
        <f>"Col18a1"</f>
        <v>Col18a1</v>
      </c>
      <c r="E423" t="s">
        <v>1309</v>
      </c>
      <c r="F423" t="s">
        <v>1310</v>
      </c>
      <c r="G423" t="s">
        <v>563</v>
      </c>
      <c r="H423" s="517">
        <v>3</v>
      </c>
      <c r="I423" s="301">
        <v>7.3281043166186901</v>
      </c>
      <c r="J423" s="138">
        <v>7.3494368372580903</v>
      </c>
      <c r="K423" s="223">
        <v>7.0304063751130403</v>
      </c>
      <c r="L423" s="1923">
        <v>5.35731835511183</v>
      </c>
      <c r="M423" s="543">
        <v>5.1245865429609498</v>
      </c>
      <c r="N423" s="600">
        <v>5.11000670066562</v>
      </c>
      <c r="O423" s="1097">
        <v>5.2090611989560403</v>
      </c>
      <c r="P423" s="1006">
        <v>5.10093943518347</v>
      </c>
      <c r="Q423" s="2262">
        <v>5.1122822781078803</v>
      </c>
      <c r="R423" s="555">
        <v>4.5787941208648597</v>
      </c>
      <c r="S423" s="729">
        <v>4.5535230405177503</v>
      </c>
      <c r="T423" s="1333">
        <v>4.56393922327144</v>
      </c>
    </row>
    <row r="424" spans="1:20">
      <c r="A424" t="s">
        <v>1311</v>
      </c>
      <c r="B424" s="6" t="str">
        <f>HYPERLINK("http://www.ncbi.nlm.nih.gov/gene/14463", "14463")</f>
        <v>14463</v>
      </c>
      <c r="C424" s="6" t="str">
        <f>HYPERLINK("http://www.ncbi.nlm.nih.gov/gene/2626", "2626")</f>
        <v>2626</v>
      </c>
      <c r="D424" t="str">
        <f>"Gata4"</f>
        <v>Gata4</v>
      </c>
      <c r="E424" t="s">
        <v>1312</v>
      </c>
      <c r="F424" t="s">
        <v>1313</v>
      </c>
      <c r="H424" s="517">
        <v>3</v>
      </c>
      <c r="I424" s="113">
        <v>6.6025933848434404</v>
      </c>
      <c r="J424" s="102">
        <v>6.5092938676046597</v>
      </c>
      <c r="K424" s="331">
        <v>6.4807122281770901</v>
      </c>
      <c r="L424" s="2048">
        <v>5.1732163512734504</v>
      </c>
      <c r="M424" s="609">
        <v>4.9317411642120499</v>
      </c>
      <c r="N424" s="695">
        <v>5.0891089319251002</v>
      </c>
      <c r="O424" s="1371">
        <v>5.0403414907907598</v>
      </c>
      <c r="P424" s="913">
        <v>5.3423178444874297</v>
      </c>
      <c r="Q424" s="2171">
        <v>4.9866180727888496</v>
      </c>
      <c r="R424" s="1364">
        <v>4.4159603446561198</v>
      </c>
      <c r="S424" s="856">
        <v>4.3596234066352801</v>
      </c>
      <c r="T424" s="1298">
        <v>4.49258646217897</v>
      </c>
    </row>
    <row r="425" spans="1:20">
      <c r="A425" t="s">
        <v>1320</v>
      </c>
      <c r="B425" s="6" t="str">
        <f>HYPERLINK("http://www.ncbi.nlm.nih.gov/gene/13003", "13003")</f>
        <v>13003</v>
      </c>
      <c r="C425" s="6" t="str">
        <f>HYPERLINK("http://www.ncbi.nlm.nih.gov/gene/1462", "1462")</f>
        <v>1462</v>
      </c>
      <c r="D425" t="str">
        <f>"Vcan"</f>
        <v>Vcan</v>
      </c>
      <c r="E425" t="s">
        <v>1321</v>
      </c>
      <c r="F425" t="s">
        <v>1322</v>
      </c>
      <c r="G425" t="s">
        <v>362</v>
      </c>
      <c r="H425" s="517">
        <v>3</v>
      </c>
      <c r="I425" s="184">
        <v>10.3886728031032</v>
      </c>
      <c r="J425" s="483">
        <v>10.337749796574</v>
      </c>
      <c r="K425" s="498">
        <v>10.206934899211999</v>
      </c>
      <c r="L425" s="2263">
        <v>8.9753391294144294</v>
      </c>
      <c r="M425" s="1664">
        <v>8.8935837307166494</v>
      </c>
      <c r="N425" s="1148">
        <v>9.0046970164856805</v>
      </c>
      <c r="O425" s="1273">
        <v>9.7177999903412893</v>
      </c>
      <c r="P425" s="626">
        <v>9.7412123324932391</v>
      </c>
      <c r="Q425" s="2210">
        <v>9.9039590682823793</v>
      </c>
      <c r="R425" s="1207">
        <v>9.6329266628097692</v>
      </c>
      <c r="S425" s="910">
        <v>9.5232325478945903</v>
      </c>
      <c r="T425" s="1383">
        <v>9.4799928014047392</v>
      </c>
    </row>
    <row r="426" spans="1:20">
      <c r="A426" t="s">
        <v>1323</v>
      </c>
      <c r="B426" s="6" t="str">
        <f>HYPERLINK("http://www.ncbi.nlm.nih.gov/gene/11504", "11504")</f>
        <v>11504</v>
      </c>
      <c r="C426" s="6" t="str">
        <f>HYPERLINK("http://www.ncbi.nlm.nih.gov/gene/9510", "9510")</f>
        <v>9510</v>
      </c>
      <c r="D426" t="str">
        <f>"Adamts1"</f>
        <v>Adamts1</v>
      </c>
      <c r="E426" t="s">
        <v>1314</v>
      </c>
      <c r="F426" t="s">
        <v>1331</v>
      </c>
      <c r="H426" s="517">
        <v>3</v>
      </c>
      <c r="I426" s="191">
        <v>9.0143522517889192</v>
      </c>
      <c r="J426" s="254">
        <v>8.9119111849861596</v>
      </c>
      <c r="K426" s="496">
        <v>8.7370309696942901</v>
      </c>
      <c r="L426" s="2264">
        <v>6.9029576638008896</v>
      </c>
      <c r="M426" s="1317">
        <v>6.7672285562552199</v>
      </c>
      <c r="N426" s="1668">
        <v>6.6668079739773001</v>
      </c>
      <c r="O426" s="954">
        <v>8.1501752063498891</v>
      </c>
      <c r="P426" s="950">
        <v>8.1141091114766795</v>
      </c>
      <c r="Q426" s="2265">
        <v>8.2317550898563692</v>
      </c>
      <c r="R426" s="695">
        <v>7.6701023937969701</v>
      </c>
      <c r="S426" s="687">
        <v>7.6133768196435296</v>
      </c>
      <c r="T426" s="615">
        <v>7.6029414794630403</v>
      </c>
    </row>
    <row r="427" spans="1:20">
      <c r="A427" t="s">
        <v>1332</v>
      </c>
      <c r="B427" s="6" t="str">
        <f>HYPERLINK("http://www.ncbi.nlm.nih.gov/gene/109620", "109620")</f>
        <v>109620</v>
      </c>
      <c r="C427" s="6" t="str">
        <f>HYPERLINK("http://www.ncbi.nlm.nih.gov/gene/1832", "1832")</f>
        <v>1832</v>
      </c>
      <c r="D427" t="str">
        <f>"Dsp"</f>
        <v>Dsp</v>
      </c>
      <c r="E427" t="s">
        <v>1333</v>
      </c>
      <c r="F427" t="s">
        <v>1316</v>
      </c>
      <c r="G427" t="s">
        <v>1324</v>
      </c>
      <c r="H427" s="517">
        <v>3</v>
      </c>
      <c r="I427" s="137">
        <v>6.1191425415351297</v>
      </c>
      <c r="J427" s="86">
        <v>5.9030758252286804</v>
      </c>
      <c r="K427" s="357">
        <v>5.7004388372218804</v>
      </c>
      <c r="L427" s="2156">
        <v>4.0758784278151197</v>
      </c>
      <c r="M427" s="1160">
        <v>4.1421285535322898</v>
      </c>
      <c r="N427" s="1150">
        <v>4.0844664292772901</v>
      </c>
      <c r="O427" s="1270">
        <v>5.2711232675639099</v>
      </c>
      <c r="P427" s="700">
        <v>4.9402452601454403</v>
      </c>
      <c r="Q427" s="2230">
        <v>5.3209531979796898</v>
      </c>
      <c r="R427" s="645">
        <v>5.1362839155087903</v>
      </c>
      <c r="S427" s="746">
        <v>5.0426420137160397</v>
      </c>
      <c r="T427" s="1384">
        <v>4.9224034797402503</v>
      </c>
    </row>
    <row r="428" spans="1:20">
      <c r="A428" t="s">
        <v>1325</v>
      </c>
      <c r="B428" s="6" t="str">
        <f>HYPERLINK("http://www.ncbi.nlm.nih.gov/gene/14266", "14266")</f>
        <v>14266</v>
      </c>
      <c r="C428" s="6" t="str">
        <f>HYPERLINK("http://www.ncbi.nlm.nih.gov/gene/", "")</f>
        <v/>
      </c>
      <c r="D428" t="str">
        <f>"Aff2"</f>
        <v>Aff2</v>
      </c>
      <c r="E428" t="s">
        <v>1326</v>
      </c>
      <c r="F428" t="s">
        <v>1330</v>
      </c>
      <c r="H428" s="517">
        <v>3</v>
      </c>
      <c r="I428" s="331">
        <v>8.8544023447328009</v>
      </c>
      <c r="J428" s="268">
        <v>8.5973318914253198</v>
      </c>
      <c r="K428" s="178">
        <v>8.7127096191514308</v>
      </c>
      <c r="L428" s="1911">
        <v>6.6963185397557501</v>
      </c>
      <c r="M428" s="1654">
        <v>6.4724277310471301</v>
      </c>
      <c r="N428" s="1173">
        <v>6.61024448283663</v>
      </c>
      <c r="O428" s="1242">
        <v>7.81192623492674</v>
      </c>
      <c r="P428" s="805">
        <v>7.8033285787959299</v>
      </c>
      <c r="Q428" s="2266">
        <v>7.8822347354930899</v>
      </c>
      <c r="R428" s="720">
        <v>7.7167408197749703</v>
      </c>
      <c r="S428" s="853">
        <v>7.5183062950331001</v>
      </c>
      <c r="T428" s="1385">
        <v>7.5195646964501002</v>
      </c>
    </row>
    <row r="429" spans="1:20">
      <c r="A429" t="s">
        <v>1337</v>
      </c>
      <c r="B429" s="6" t="str">
        <f>HYPERLINK("http://www.ncbi.nlm.nih.gov/gene/68178", "68178")</f>
        <v>68178</v>
      </c>
      <c r="C429" s="6" t="str">
        <f>HYPERLINK("http://www.ncbi.nlm.nih.gov/gene/84952", "84952")</f>
        <v>84952</v>
      </c>
      <c r="D429" t="str">
        <f>"Cgnl1"</f>
        <v>Cgnl1</v>
      </c>
      <c r="E429" t="s">
        <v>1338</v>
      </c>
      <c r="F429" t="s">
        <v>1317</v>
      </c>
      <c r="H429" s="517">
        <v>3</v>
      </c>
      <c r="I429" s="477">
        <v>7.2548110377717396</v>
      </c>
      <c r="J429" s="86">
        <v>7.1028873686824596</v>
      </c>
      <c r="K429" s="85">
        <v>7.2123134084510996</v>
      </c>
      <c r="L429" s="2267">
        <v>4.6271711407896303</v>
      </c>
      <c r="M429" s="1559">
        <v>4.7500429295401396</v>
      </c>
      <c r="N429" s="1021">
        <v>4.7260814355229899</v>
      </c>
      <c r="O429" s="1386">
        <v>6.0002795296303004</v>
      </c>
      <c r="P429" s="1122">
        <v>5.9928346154644698</v>
      </c>
      <c r="Q429" s="2022">
        <v>6.26710000159947</v>
      </c>
      <c r="R429" s="913">
        <v>6.0087604768316298</v>
      </c>
      <c r="S429" s="1291">
        <v>5.64655750574319</v>
      </c>
      <c r="T429" s="633">
        <v>5.7973309273403801</v>
      </c>
    </row>
    <row r="430" spans="1:20">
      <c r="A430" t="s">
        <v>1318</v>
      </c>
      <c r="B430" s="6" t="str">
        <f>HYPERLINK("http://www.ncbi.nlm.nih.gov/gene/18542", "18542")</f>
        <v>18542</v>
      </c>
      <c r="C430" s="6" t="str">
        <f>HYPERLINK("http://www.ncbi.nlm.nih.gov/gene/5118", "5118")</f>
        <v>5118</v>
      </c>
      <c r="D430" t="str">
        <f>"Pcolce"</f>
        <v>Pcolce</v>
      </c>
      <c r="E430" t="s">
        <v>1319</v>
      </c>
      <c r="F430" t="s">
        <v>1327</v>
      </c>
      <c r="H430" s="517">
        <v>3</v>
      </c>
      <c r="I430" s="167">
        <v>9.86565281934692</v>
      </c>
      <c r="J430" s="178">
        <v>9.8444859149309796</v>
      </c>
      <c r="K430" s="475">
        <v>9.8321821098946103</v>
      </c>
      <c r="L430" s="2051">
        <v>9.0405620769743198</v>
      </c>
      <c r="M430" s="1556">
        <v>8.7781832424883106</v>
      </c>
      <c r="N430" s="2268">
        <v>8.4893291544300897</v>
      </c>
      <c r="O430" s="1387">
        <v>9.3368264745339609</v>
      </c>
      <c r="P430" s="1215">
        <v>9.2215681045221007</v>
      </c>
      <c r="Q430" s="2241">
        <v>9.2832068713783897</v>
      </c>
      <c r="R430" s="942">
        <v>9.3512387453155199</v>
      </c>
      <c r="S430" s="913">
        <v>9.3347760597863392</v>
      </c>
      <c r="T430" s="646">
        <v>9.2993196452057507</v>
      </c>
    </row>
    <row r="431" spans="1:20">
      <c r="A431" t="s">
        <v>1328</v>
      </c>
      <c r="B431" s="6" t="str">
        <f>HYPERLINK("http://www.ncbi.nlm.nih.gov/gene/17380", "17380")</f>
        <v>17380</v>
      </c>
      <c r="C431" s="6" t="str">
        <f>HYPERLINK("http://www.ncbi.nlm.nih.gov/gene/4311", "4311")</f>
        <v>4311</v>
      </c>
      <c r="D431" t="str">
        <f>"Mme"</f>
        <v>Mme</v>
      </c>
      <c r="E431" t="s">
        <v>1329</v>
      </c>
      <c r="F431" t="s">
        <v>1315</v>
      </c>
      <c r="G431" t="s">
        <v>1334</v>
      </c>
      <c r="H431" s="517">
        <v>3</v>
      </c>
      <c r="I431" s="102">
        <v>8.5160687979060192</v>
      </c>
      <c r="J431" s="274">
        <v>8.2995258972539006</v>
      </c>
      <c r="K431" s="478">
        <v>8.1543425275971693</v>
      </c>
      <c r="L431" s="2269">
        <v>5.0878939406239096</v>
      </c>
      <c r="M431" s="1591">
        <v>5.2982519070909397</v>
      </c>
      <c r="N431" s="1285">
        <v>4.8586658339518598</v>
      </c>
      <c r="O431" s="1208">
        <v>6.65741775988492</v>
      </c>
      <c r="P431" s="720">
        <v>6.7449981418172698</v>
      </c>
      <c r="Q431" s="2270">
        <v>6.9695387185952304</v>
      </c>
      <c r="R431" s="550">
        <v>6.4295092559016496</v>
      </c>
      <c r="S431" s="781">
        <v>6.7024300338409697</v>
      </c>
      <c r="T431" s="1388">
        <v>6.5534113995465599</v>
      </c>
    </row>
    <row r="432" spans="1:20">
      <c r="A432" t="s">
        <v>1335</v>
      </c>
      <c r="B432" s="6" t="str">
        <f>HYPERLINK("http://www.ncbi.nlm.nih.gov/gene/13618", "13618")</f>
        <v>13618</v>
      </c>
      <c r="C432" s="6" t="str">
        <f>HYPERLINK("http://www.ncbi.nlm.nih.gov/gene/1910", "1910")</f>
        <v>1910</v>
      </c>
      <c r="D432" t="str">
        <f>"Ednrb"</f>
        <v>Ednrb</v>
      </c>
      <c r="E432" t="s">
        <v>1336</v>
      </c>
      <c r="F432" t="s">
        <v>1339</v>
      </c>
      <c r="G432" t="s">
        <v>1346</v>
      </c>
      <c r="H432" s="517">
        <v>3</v>
      </c>
      <c r="I432" s="189">
        <v>6.7083833198371599</v>
      </c>
      <c r="J432" s="241">
        <v>6.27496177056749</v>
      </c>
      <c r="K432" s="268">
        <v>6.2129727608006897</v>
      </c>
      <c r="L432" s="2271">
        <v>4.2452733886520599</v>
      </c>
      <c r="M432" s="1161">
        <v>4.1820879585568598</v>
      </c>
      <c r="N432" s="1671">
        <v>3.9592986994197901</v>
      </c>
      <c r="O432" s="1129">
        <v>5.3208919315432901</v>
      </c>
      <c r="P432" s="836">
        <v>5.2946014759517102</v>
      </c>
      <c r="Q432" s="2103">
        <v>5.0433132135646703</v>
      </c>
      <c r="R432" s="1228">
        <v>5.1001171528798297</v>
      </c>
      <c r="S432" s="1251">
        <v>5.3080797734737502</v>
      </c>
      <c r="T432" s="812">
        <v>5.1041150110524498</v>
      </c>
    </row>
    <row r="433" spans="1:20">
      <c r="A433" t="s">
        <v>1347</v>
      </c>
      <c r="B433" s="6" t="str">
        <f>HYPERLINK("http://www.ncbi.nlm.nih.gov/gene/68792", "68792")</f>
        <v>68792</v>
      </c>
      <c r="C433" s="6" t="str">
        <f>HYPERLINK("http://www.ncbi.nlm.nih.gov/gene/27286", "27286")</f>
        <v>27286</v>
      </c>
      <c r="D433" t="str">
        <f>"Srpx2"</f>
        <v>Srpx2</v>
      </c>
      <c r="E433" t="s">
        <v>1348</v>
      </c>
      <c r="F433" t="s">
        <v>1349</v>
      </c>
      <c r="H433" s="517">
        <v>3</v>
      </c>
      <c r="I433" s="463">
        <v>6.0384892209008303</v>
      </c>
      <c r="J433" s="78">
        <v>5.6133344526119799</v>
      </c>
      <c r="K433" s="119">
        <v>5.74776643380173</v>
      </c>
      <c r="L433" s="1867">
        <v>4.0715148190880903</v>
      </c>
      <c r="M433" s="1691">
        <v>3.73907051263047</v>
      </c>
      <c r="N433" s="1317">
        <v>3.6827813341020699</v>
      </c>
      <c r="O433" s="1373">
        <v>4.6630876235352696</v>
      </c>
      <c r="P433" s="609">
        <v>4.3833405941757402</v>
      </c>
      <c r="Q433" s="2272">
        <v>4.74263892872737</v>
      </c>
      <c r="R433" s="670">
        <v>4.4947462487404799</v>
      </c>
      <c r="S433" s="1296">
        <v>4.6664374531931303</v>
      </c>
      <c r="T433" s="1389">
        <v>4.6775073889802599</v>
      </c>
    </row>
    <row r="434" spans="1:20">
      <c r="A434" t="s">
        <v>1350</v>
      </c>
      <c r="B434" s="6" t="str">
        <f>HYPERLINK("http://www.ncbi.nlm.nih.gov/gene/18778", "18778")</f>
        <v>18778</v>
      </c>
      <c r="C434" s="6" t="str">
        <f>HYPERLINK("http://www.ncbi.nlm.nih.gov/gene/5319", "5319")</f>
        <v>5319</v>
      </c>
      <c r="D434" t="str">
        <f>"Pla2g1b"</f>
        <v>Pla2g1b</v>
      </c>
      <c r="E434" t="s">
        <v>1351</v>
      </c>
      <c r="F434" t="s">
        <v>1340</v>
      </c>
      <c r="G434" t="s">
        <v>1341</v>
      </c>
      <c r="H434" s="517">
        <v>3</v>
      </c>
      <c r="I434" s="179">
        <v>4.2177231239775503</v>
      </c>
      <c r="J434" s="336">
        <v>3.51519865825935</v>
      </c>
      <c r="K434" s="172">
        <v>4.3333036401300902</v>
      </c>
      <c r="L434" s="1860">
        <v>2.4481273993999202</v>
      </c>
      <c r="M434" s="997">
        <v>2.5660415092259998</v>
      </c>
      <c r="N434" s="703">
        <v>2.4264857427825199</v>
      </c>
      <c r="O434" s="1390">
        <v>3.0257935968052601</v>
      </c>
      <c r="P434" s="779">
        <v>3.03168639167593</v>
      </c>
      <c r="Q434" s="2058">
        <v>2.8106914858523302</v>
      </c>
      <c r="R434" s="669">
        <v>2.8239277868749002</v>
      </c>
      <c r="S434" s="627">
        <v>2.8750363128532399</v>
      </c>
      <c r="T434" s="667">
        <v>3.16328778204528</v>
      </c>
    </row>
    <row r="435" spans="1:20">
      <c r="A435" t="s">
        <v>1342</v>
      </c>
      <c r="B435" s="6" t="str">
        <f>HYPERLINK("http://www.ncbi.nlm.nih.gov/gene/70097", "70097")</f>
        <v>70097</v>
      </c>
      <c r="C435" s="6" t="str">
        <f>HYPERLINK("http://www.ncbi.nlm.nih.gov/gene/23328", "23328")</f>
        <v>23328</v>
      </c>
      <c r="D435" t="str">
        <f>"Sash1"</f>
        <v>Sash1</v>
      </c>
      <c r="E435" t="s">
        <v>1343</v>
      </c>
      <c r="F435" t="s">
        <v>90</v>
      </c>
      <c r="H435" s="517">
        <v>3</v>
      </c>
      <c r="I435" s="93">
        <v>7.1501474279595696</v>
      </c>
      <c r="J435" s="379">
        <v>6.8471161716195104</v>
      </c>
      <c r="K435" s="102">
        <v>7.0637332502164201</v>
      </c>
      <c r="L435" s="2273">
        <v>5.8739794746210601</v>
      </c>
      <c r="M435" s="1646">
        <v>5.96250048307187</v>
      </c>
      <c r="N435" s="1289">
        <v>6.0648887594623897</v>
      </c>
      <c r="O435" s="1209">
        <v>6.3119782971636296</v>
      </c>
      <c r="P435" s="790">
        <v>6.3783423931483396</v>
      </c>
      <c r="Q435" s="2274">
        <v>6.3863522440377096</v>
      </c>
      <c r="R435" s="813">
        <v>6.5589269242574897</v>
      </c>
      <c r="S435" s="869">
        <v>6.3607176834329398</v>
      </c>
      <c r="T435" s="802">
        <v>6.5061369140304803</v>
      </c>
    </row>
    <row r="436" spans="1:20">
      <c r="A436" t="s">
        <v>1344</v>
      </c>
      <c r="B436" s="6" t="str">
        <f>HYPERLINK("http://www.ncbi.nlm.nih.gov/gene/18596", "18596")</f>
        <v>18596</v>
      </c>
      <c r="C436" s="6" t="str">
        <f>HYPERLINK("http://www.ncbi.nlm.nih.gov/gene/5159", "5159")</f>
        <v>5159</v>
      </c>
      <c r="D436" t="str">
        <f>"Pdgfrb"</f>
        <v>Pdgfrb</v>
      </c>
      <c r="E436" t="s">
        <v>1345</v>
      </c>
      <c r="F436" t="s">
        <v>1352</v>
      </c>
      <c r="G436" t="s">
        <v>1353</v>
      </c>
      <c r="H436" s="517">
        <v>3</v>
      </c>
      <c r="I436" s="329">
        <v>9.69227549614126</v>
      </c>
      <c r="J436" s="274">
        <v>9.4883984286715304</v>
      </c>
      <c r="K436" s="254">
        <v>9.4688688250758997</v>
      </c>
      <c r="L436" s="2098">
        <v>7.9606170931082003</v>
      </c>
      <c r="M436" s="1327">
        <v>7.9407082269092202</v>
      </c>
      <c r="N436" s="1559">
        <v>7.8929889611512296</v>
      </c>
      <c r="O436" s="1257">
        <v>8.5081512275186704</v>
      </c>
      <c r="P436" s="854">
        <v>8.5978217182076104</v>
      </c>
      <c r="Q436" s="2067">
        <v>8.4483086377418903</v>
      </c>
      <c r="R436" s="920">
        <v>8.7569063736488495</v>
      </c>
      <c r="S436" s="835">
        <v>8.6765682443148595</v>
      </c>
      <c r="T436" s="785">
        <v>8.6814272782233193</v>
      </c>
    </row>
    <row r="437" spans="1:20">
      <c r="A437" t="s">
        <v>1354</v>
      </c>
      <c r="B437" s="6" t="str">
        <f>HYPERLINK("http://www.ncbi.nlm.nih.gov/gene/14115", "14115")</f>
        <v>14115</v>
      </c>
      <c r="C437" s="6" t="str">
        <f>HYPERLINK("http://www.ncbi.nlm.nih.gov/gene/2199", "2199")</f>
        <v>2199</v>
      </c>
      <c r="D437" t="str">
        <f>"Fbln2"</f>
        <v>Fbln2</v>
      </c>
      <c r="E437" t="s">
        <v>1355</v>
      </c>
      <c r="F437" t="s">
        <v>1356</v>
      </c>
      <c r="H437" s="517">
        <v>3</v>
      </c>
      <c r="I437" s="92">
        <v>9.1801901124726193</v>
      </c>
      <c r="J437" s="208">
        <v>9.1261506813057895</v>
      </c>
      <c r="K437" s="103">
        <v>8.9986695400448298</v>
      </c>
      <c r="L437" s="2275">
        <v>6.3641030233182496</v>
      </c>
      <c r="M437" s="1323">
        <v>6.3860678722507398</v>
      </c>
      <c r="N437" s="1591">
        <v>6.3607240551581299</v>
      </c>
      <c r="O437" s="989">
        <v>7.0699153984198704</v>
      </c>
      <c r="P437" s="687">
        <v>7.2313499960229297</v>
      </c>
      <c r="Q437" s="2062">
        <v>7.2499413634557301</v>
      </c>
      <c r="R437" s="913">
        <v>7.61766061402668</v>
      </c>
      <c r="S437" s="835">
        <v>7.5481102614044904</v>
      </c>
      <c r="T437" s="1391">
        <v>7.4974653804357301</v>
      </c>
    </row>
    <row r="438" spans="1:20">
      <c r="A438" t="s">
        <v>1357</v>
      </c>
      <c r="B438" s="6" t="str">
        <f>HYPERLINK("http://www.ncbi.nlm.nih.gov/gene/100038470", "100038470")</f>
        <v>100038470</v>
      </c>
      <c r="C438" s="6" t="str">
        <f>HYPERLINK("http://www.ncbi.nlm.nih.gov/gene/", "")</f>
        <v/>
      </c>
      <c r="D438" t="str">
        <f>"Gm10808"</f>
        <v>Gm10808</v>
      </c>
      <c r="E438" t="s">
        <v>1358</v>
      </c>
      <c r="H438" s="517">
        <v>3</v>
      </c>
      <c r="I438" s="193">
        <v>6.2791005932711199</v>
      </c>
      <c r="J438" s="178">
        <v>6.0160416724277104</v>
      </c>
      <c r="K438" s="107">
        <v>6.2982148729322596</v>
      </c>
      <c r="L438" s="2276">
        <v>3.5941516713014701</v>
      </c>
      <c r="M438" s="1323">
        <v>3.7889337114572199</v>
      </c>
      <c r="N438" s="1337">
        <v>3.8793614072244602</v>
      </c>
      <c r="O438" s="1209">
        <v>4.5025230760942803</v>
      </c>
      <c r="P438" s="700">
        <v>4.6710363467682798</v>
      </c>
      <c r="Q438" s="2226">
        <v>4.7798762461484703</v>
      </c>
      <c r="R438" s="649">
        <v>4.6979930796307601</v>
      </c>
      <c r="S438" s="1028">
        <v>4.6662217318303796</v>
      </c>
      <c r="T438" s="1392">
        <v>4.7680997897414299</v>
      </c>
    </row>
    <row r="439" spans="1:20">
      <c r="A439" t="s">
        <v>1359</v>
      </c>
      <c r="B439" s="6" t="str">
        <f>HYPERLINK("http://www.ncbi.nlm.nih.gov/gene/268780", "268780")</f>
        <v>268780</v>
      </c>
      <c r="C439" s="6" t="str">
        <f>HYPERLINK("http://www.ncbi.nlm.nih.gov/gene/133584", "133584")</f>
        <v>133584</v>
      </c>
      <c r="D439" t="str">
        <f>"Egflam"</f>
        <v>Egflam</v>
      </c>
      <c r="E439" t="s">
        <v>1360</v>
      </c>
      <c r="F439" t="s">
        <v>1361</v>
      </c>
      <c r="H439" s="517">
        <v>3</v>
      </c>
      <c r="I439" s="116">
        <v>6.2704192868804203</v>
      </c>
      <c r="J439" s="470">
        <v>5.9630617790831604</v>
      </c>
      <c r="K439" s="92">
        <v>6.2945500678913699</v>
      </c>
      <c r="L439" s="2277">
        <v>4.0000619608145298</v>
      </c>
      <c r="M439" s="1167">
        <v>4.1580855128296204</v>
      </c>
      <c r="N439" s="1144">
        <v>3.83700205164507</v>
      </c>
      <c r="O439" s="1278">
        <v>4.9268084188576804</v>
      </c>
      <c r="P439" s="700">
        <v>4.8776437484228099</v>
      </c>
      <c r="Q439" s="2111">
        <v>4.8894966378233997</v>
      </c>
      <c r="R439" s="726">
        <v>4.9505643489487001</v>
      </c>
      <c r="S439" s="835">
        <v>5.0224206523945503</v>
      </c>
      <c r="T439" s="791">
        <v>5.02117338862148</v>
      </c>
    </row>
    <row r="440" spans="1:20">
      <c r="A440" t="s">
        <v>1362</v>
      </c>
      <c r="B440" s="6" t="str">
        <f>HYPERLINK("http://www.ncbi.nlm.nih.gov/gene/12835", "12835")</f>
        <v>12835</v>
      </c>
      <c r="C440" s="6" t="str">
        <f>HYPERLINK("http://www.ncbi.nlm.nih.gov/gene/1293", "1293")</f>
        <v>1293</v>
      </c>
      <c r="D440" t="str">
        <f>"Col6a3"</f>
        <v>Col6a3</v>
      </c>
      <c r="E440" t="s">
        <v>1363</v>
      </c>
      <c r="F440" t="s">
        <v>1364</v>
      </c>
      <c r="G440" t="s">
        <v>1365</v>
      </c>
      <c r="H440" s="517">
        <v>3</v>
      </c>
      <c r="I440" s="113">
        <v>7.60736095134145</v>
      </c>
      <c r="J440" s="217">
        <v>7.4709279421175196</v>
      </c>
      <c r="K440" s="94">
        <v>7.6017174928848696</v>
      </c>
      <c r="L440" s="1860">
        <v>5.2122404743641999</v>
      </c>
      <c r="M440" s="1289">
        <v>5.2869695104804801</v>
      </c>
      <c r="N440" s="1087">
        <v>5.3616640785796497</v>
      </c>
      <c r="O440" s="1001">
        <v>5.7197823607519602</v>
      </c>
      <c r="P440" s="676">
        <v>5.8551126294716598</v>
      </c>
      <c r="Q440" s="2153">
        <v>5.9282446528584902</v>
      </c>
      <c r="R440" s="690">
        <v>6.1460176033766203</v>
      </c>
      <c r="S440" s="1291">
        <v>5.8649723051514302</v>
      </c>
      <c r="T440" s="580">
        <v>5.7842954295274103</v>
      </c>
    </row>
    <row r="441" spans="1:20">
      <c r="A441" t="s">
        <v>1366</v>
      </c>
      <c r="B441" s="6" t="str">
        <f>HYPERLINK("http://www.ncbi.nlm.nih.gov/gene/17158", "17158")</f>
        <v>17158</v>
      </c>
      <c r="C441" s="6" t="str">
        <f>HYPERLINK("http://www.ncbi.nlm.nih.gov/gene/4124", "4124")</f>
        <v>4124</v>
      </c>
      <c r="D441" t="str">
        <f>"Man2a1"</f>
        <v>Man2a1</v>
      </c>
      <c r="E441" t="s">
        <v>1367</v>
      </c>
      <c r="F441" t="s">
        <v>1376</v>
      </c>
      <c r="G441" t="s">
        <v>973</v>
      </c>
      <c r="H441" s="517">
        <v>3</v>
      </c>
      <c r="I441" s="117">
        <v>7.4640181589277699</v>
      </c>
      <c r="J441" s="475">
        <v>7.2787894578200998</v>
      </c>
      <c r="K441" s="196">
        <v>7.4021780614719601</v>
      </c>
      <c r="L441" s="2278">
        <v>6.1458612064563196</v>
      </c>
      <c r="M441" s="1167">
        <v>6.1977381983137896</v>
      </c>
      <c r="N441" s="1308">
        <v>6.2157023233154298</v>
      </c>
      <c r="O441" s="1393">
        <v>6.3672780569640999</v>
      </c>
      <c r="P441" s="600">
        <v>6.5066482778724204</v>
      </c>
      <c r="Q441" s="2279">
        <v>6.69554865567539</v>
      </c>
      <c r="R441" s="1267">
        <v>6.8299683575369503</v>
      </c>
      <c r="S441" s="700">
        <v>6.6106242556820201</v>
      </c>
      <c r="T441" s="596">
        <v>6.5622650195667998</v>
      </c>
    </row>
    <row r="442" spans="1:20">
      <c r="A442" t="s">
        <v>1377</v>
      </c>
      <c r="B442" s="6" t="str">
        <f>HYPERLINK("http://www.ncbi.nlm.nih.gov/gene/11857", "11857")</f>
        <v>11857</v>
      </c>
      <c r="C442" s="6" t="str">
        <f>HYPERLINK("http://www.ncbi.nlm.nih.gov/gene/397", "397")</f>
        <v>397</v>
      </c>
      <c r="D442" t="str">
        <f>"Arhgdib"</f>
        <v>Arhgdib</v>
      </c>
      <c r="E442" t="s">
        <v>1378</v>
      </c>
      <c r="F442" t="s">
        <v>1379</v>
      </c>
      <c r="G442" t="s">
        <v>1380</v>
      </c>
      <c r="H442" s="517">
        <v>3</v>
      </c>
      <c r="I442" s="358">
        <v>6.2453868608984999</v>
      </c>
      <c r="J442" s="159">
        <v>6.5549805736501101</v>
      </c>
      <c r="K442" s="368">
        <v>6.2767653334219</v>
      </c>
      <c r="L442" s="2275">
        <v>5.3268485613832404</v>
      </c>
      <c r="M442" s="727">
        <v>5.2624123354200902</v>
      </c>
      <c r="N442" s="641">
        <v>5.48514942260877</v>
      </c>
      <c r="O442" s="1247">
        <v>6.0447586820603902</v>
      </c>
      <c r="P442" s="942">
        <v>5.8371477944989696</v>
      </c>
      <c r="Q442" s="2280">
        <v>5.63597606817389</v>
      </c>
      <c r="R442" s="869">
        <v>5.6992045830088101</v>
      </c>
      <c r="S442" s="595">
        <v>5.6212047238945404</v>
      </c>
      <c r="T442" s="843">
        <v>5.5229352086397103</v>
      </c>
    </row>
    <row r="443" spans="1:20">
      <c r="A443" t="s">
        <v>1381</v>
      </c>
      <c r="B443" s="6" t="str">
        <f>HYPERLINK("http://www.ncbi.nlm.nih.gov/gene/56089", "56089")</f>
        <v>56089</v>
      </c>
      <c r="C443" s="6" t="str">
        <f>HYPERLINK("http://www.ncbi.nlm.nih.gov/gene/10268", "10268")</f>
        <v>10268</v>
      </c>
      <c r="D443" t="str">
        <f>"Ramp3"</f>
        <v>Ramp3</v>
      </c>
      <c r="E443" t="s">
        <v>1382</v>
      </c>
      <c r="F443" t="s">
        <v>1388</v>
      </c>
      <c r="G443" t="s">
        <v>159</v>
      </c>
      <c r="H443" s="517">
        <v>3</v>
      </c>
      <c r="I443" s="244">
        <v>5.4765631814176103</v>
      </c>
      <c r="J443" s="162">
        <v>5.9184452181840799</v>
      </c>
      <c r="K443" s="366">
        <v>5.61396243890868</v>
      </c>
      <c r="L443" s="2107">
        <v>4.16623419584662</v>
      </c>
      <c r="M443" s="561">
        <v>4.3421756893076804</v>
      </c>
      <c r="N443" s="1174">
        <v>4.1855313874478997</v>
      </c>
      <c r="O443" s="1300">
        <v>4.9522412471832196</v>
      </c>
      <c r="P443" s="543">
        <v>4.5508121310955101</v>
      </c>
      <c r="Q443" s="2281">
        <v>4.4054872210145604</v>
      </c>
      <c r="R443" s="700">
        <v>4.6797014251926701</v>
      </c>
      <c r="S443" s="594">
        <v>4.4940957225158602</v>
      </c>
      <c r="T443" s="580">
        <v>4.5332738095054301</v>
      </c>
    </row>
    <row r="444" spans="1:20">
      <c r="A444" t="s">
        <v>1389</v>
      </c>
      <c r="B444" s="6" t="str">
        <f>HYPERLINK("http://www.ncbi.nlm.nih.gov/gene/69574", "69574")</f>
        <v>69574</v>
      </c>
      <c r="C444" s="6" t="str">
        <f>HYPERLINK("http://www.ncbi.nlm.nih.gov/gene/134147", "134147")</f>
        <v>134147</v>
      </c>
      <c r="D444" t="str">
        <f>"Cmbl"</f>
        <v>Cmbl</v>
      </c>
      <c r="E444" t="s">
        <v>1390</v>
      </c>
      <c r="F444" t="s">
        <v>1391</v>
      </c>
      <c r="G444" t="s">
        <v>1123</v>
      </c>
      <c r="H444" s="517">
        <v>3</v>
      </c>
      <c r="I444" s="67">
        <v>4.1806268258454704</v>
      </c>
      <c r="J444" s="459">
        <v>4.7338880696589296</v>
      </c>
      <c r="K444" s="94">
        <v>4.5786147852049996</v>
      </c>
      <c r="L444" s="1906">
        <v>2.6158857137729399</v>
      </c>
      <c r="M444" s="1302">
        <v>2.70955932229533</v>
      </c>
      <c r="N444" s="688">
        <v>2.88522597903156</v>
      </c>
      <c r="O444" s="1300">
        <v>3.62715052578181</v>
      </c>
      <c r="P444" s="854">
        <v>3.3118648407767202</v>
      </c>
      <c r="Q444" s="2158">
        <v>3.26805335215129</v>
      </c>
      <c r="R444" s="629">
        <v>3.1939191108621601</v>
      </c>
      <c r="S444" s="594">
        <v>3.0559527785085998</v>
      </c>
      <c r="T444" s="1363">
        <v>2.72801859948737</v>
      </c>
    </row>
    <row r="445" spans="1:20">
      <c r="A445" t="s">
        <v>1392</v>
      </c>
      <c r="B445" s="6" t="str">
        <f>HYPERLINK("http://www.ncbi.nlm.nih.gov/gene/380711", "380711")</f>
        <v>380711</v>
      </c>
      <c r="C445" s="6" t="str">
        <f>HYPERLINK("http://www.ncbi.nlm.nih.gov/gene/23108", "23108")</f>
        <v>23108</v>
      </c>
      <c r="D445" t="str">
        <f>"Rap1gap2"</f>
        <v>Rap1gap2</v>
      </c>
      <c r="E445" t="s">
        <v>1393</v>
      </c>
      <c r="F445" t="s">
        <v>1368</v>
      </c>
      <c r="H445" s="517">
        <v>3</v>
      </c>
      <c r="I445" s="358">
        <v>5.2826968259215699</v>
      </c>
      <c r="J445" s="132">
        <v>5.6988020884074801</v>
      </c>
      <c r="K445" s="101">
        <v>5.8815989813015799</v>
      </c>
      <c r="L445" s="2043">
        <v>3.7153712374267802</v>
      </c>
      <c r="M445" s="1306">
        <v>3.5327750764621202</v>
      </c>
      <c r="N445" s="1346">
        <v>3.78503316701272</v>
      </c>
      <c r="O445" s="1208">
        <v>4.3626552480285401</v>
      </c>
      <c r="P445" s="798">
        <v>4.4149741519834498</v>
      </c>
      <c r="Q445" s="2225">
        <v>4.12331009762298</v>
      </c>
      <c r="R445" s="670">
        <v>4.1522292360035298</v>
      </c>
      <c r="S445" s="610">
        <v>3.9531591537202999</v>
      </c>
      <c r="T445" s="1310">
        <v>3.7092090777701601</v>
      </c>
    </row>
    <row r="446" spans="1:20">
      <c r="A446" t="s">
        <v>1369</v>
      </c>
      <c r="B446" s="6" t="str">
        <f>HYPERLINK("http://www.ncbi.nlm.nih.gov/gene/70571", "70571")</f>
        <v>70571</v>
      </c>
      <c r="C446" s="6" t="str">
        <f>HYPERLINK("http://www.ncbi.nlm.nih.gov/gene/256536", "256536")</f>
        <v>256536</v>
      </c>
      <c r="D446" t="str">
        <f>"Tcerg1l"</f>
        <v>Tcerg1l</v>
      </c>
      <c r="E446" t="s">
        <v>1370</v>
      </c>
      <c r="F446" t="s">
        <v>90</v>
      </c>
      <c r="H446" s="517">
        <v>3</v>
      </c>
      <c r="I446" s="179">
        <v>4.5268547721712604</v>
      </c>
      <c r="J446" s="457">
        <v>4.2678714084521596</v>
      </c>
      <c r="K446" s="85">
        <v>4.3170458819911497</v>
      </c>
      <c r="L446" s="1878">
        <v>3.41443951716274</v>
      </c>
      <c r="M446" s="1826">
        <v>2.7878998087701099</v>
      </c>
      <c r="N446" s="851">
        <v>3.3339563303653401</v>
      </c>
      <c r="O446" s="1394">
        <v>3.7721494137902698</v>
      </c>
      <c r="P446" s="529">
        <v>3.4681413703633099</v>
      </c>
      <c r="Q446" s="2226">
        <v>3.5966508630081102</v>
      </c>
      <c r="R446" s="1002">
        <v>3.2842308781253098</v>
      </c>
      <c r="S446" s="560">
        <v>3.4148215542017901</v>
      </c>
      <c r="T446" s="562">
        <v>3.2671534141024199</v>
      </c>
    </row>
    <row r="447" spans="1:20">
      <c r="A447" t="s">
        <v>1371</v>
      </c>
      <c r="B447" s="6" t="str">
        <f>HYPERLINK("http://www.ncbi.nlm.nih.gov/gene/68810", "68810")</f>
        <v>68810</v>
      </c>
      <c r="C447" s="6" t="str">
        <f>HYPERLINK("http://www.ncbi.nlm.nih.gov/gene/91624", "91624")</f>
        <v>91624</v>
      </c>
      <c r="D447" t="str">
        <f>"Nexn"</f>
        <v>Nexn</v>
      </c>
      <c r="E447" t="s">
        <v>1372</v>
      </c>
      <c r="F447" t="s">
        <v>1373</v>
      </c>
      <c r="H447" s="517">
        <v>3</v>
      </c>
      <c r="I447" s="318">
        <v>6.9640622278275401</v>
      </c>
      <c r="J447" s="113">
        <v>6.8788246444033296</v>
      </c>
      <c r="K447" s="461">
        <v>6.5663302313946401</v>
      </c>
      <c r="L447" s="1865">
        <v>5.66001162329745</v>
      </c>
      <c r="M447" s="1671">
        <v>5.2375365629059001</v>
      </c>
      <c r="N447" s="1340">
        <v>5.5593480408558902</v>
      </c>
      <c r="O447" s="1106">
        <v>5.8413413048517597</v>
      </c>
      <c r="P447" s="906">
        <v>5.8764924643992797</v>
      </c>
      <c r="Q447" s="2196">
        <v>6.1369883795924203</v>
      </c>
      <c r="R447" s="832">
        <v>5.7850325819316097</v>
      </c>
      <c r="S447" s="1028">
        <v>5.9308475418800803</v>
      </c>
      <c r="T447" s="907">
        <v>5.8424777998103297</v>
      </c>
    </row>
    <row r="448" spans="1:20">
      <c r="A448" t="s">
        <v>1374</v>
      </c>
      <c r="B448" s="6" t="str">
        <f>HYPERLINK("http://www.ncbi.nlm.nih.gov/gene/12728", "12728")</f>
        <v>12728</v>
      </c>
      <c r="C448" s="6" t="str">
        <f>HYPERLINK("http://www.ncbi.nlm.nih.gov/gene/1184", "1184")</f>
        <v>1184</v>
      </c>
      <c r="D448" t="str">
        <f>"Clcn5"</f>
        <v>Clcn5</v>
      </c>
      <c r="E448" t="s">
        <v>1375</v>
      </c>
      <c r="F448" t="s">
        <v>1383</v>
      </c>
      <c r="H448" s="517">
        <v>3</v>
      </c>
      <c r="I448" s="256">
        <v>9.5837318969588505</v>
      </c>
      <c r="J448" s="103">
        <v>9.3748860879098199</v>
      </c>
      <c r="K448" s="208">
        <v>9.4311578930044604</v>
      </c>
      <c r="L448" s="2282">
        <v>8.2991222414711192</v>
      </c>
      <c r="M448" s="578">
        <v>8.3033791718500094</v>
      </c>
      <c r="N448" s="859">
        <v>8.3682669517031094</v>
      </c>
      <c r="O448" s="1395">
        <v>8.5691196788589803</v>
      </c>
      <c r="P448" s="712">
        <v>8.4830946171337001</v>
      </c>
      <c r="Q448" s="2274">
        <v>8.6650081791593792</v>
      </c>
      <c r="R448" s="595">
        <v>8.5490350611135106</v>
      </c>
      <c r="S448" s="743">
        <v>8.6840359368400204</v>
      </c>
      <c r="T448" s="1356">
        <v>8.5780741854418707</v>
      </c>
    </row>
    <row r="449" spans="1:20">
      <c r="A449" t="s">
        <v>1384</v>
      </c>
      <c r="B449" s="6" t="str">
        <f>HYPERLINK("http://www.ncbi.nlm.nih.gov/gene/67246", "67246")</f>
        <v>67246</v>
      </c>
      <c r="C449" s="6" t="str">
        <f>HYPERLINK("http://www.ncbi.nlm.nih.gov/gene/55196", "55196")</f>
        <v>55196</v>
      </c>
      <c r="D449" t="str">
        <f>"2810474O19Rik"</f>
        <v>2810474O19Rik</v>
      </c>
      <c r="E449" t="s">
        <v>1385</v>
      </c>
      <c r="F449" t="s">
        <v>90</v>
      </c>
      <c r="H449" s="517">
        <v>3</v>
      </c>
      <c r="I449" s="116">
        <v>7.4561070976119304</v>
      </c>
      <c r="J449" s="117">
        <v>7.5245861387046</v>
      </c>
      <c r="K449" s="234">
        <v>7.4382744562070302</v>
      </c>
      <c r="L449" s="2283">
        <v>6.1539938419179299</v>
      </c>
      <c r="M449" s="703">
        <v>6.0925522519409903</v>
      </c>
      <c r="N449" s="1081">
        <v>6.3203530029986403</v>
      </c>
      <c r="O449" s="1396">
        <v>6.4386380149965001</v>
      </c>
      <c r="P449" s="683">
        <v>6.4849569596995504</v>
      </c>
      <c r="Q449" s="2110">
        <v>6.8030479344413104</v>
      </c>
      <c r="R449" s="592">
        <v>6.3975695508802204</v>
      </c>
      <c r="S449" s="609">
        <v>6.4308012411281101</v>
      </c>
      <c r="T449" s="1397">
        <v>6.3410124673309296</v>
      </c>
    </row>
    <row r="450" spans="1:20">
      <c r="A450" t="s">
        <v>1386</v>
      </c>
      <c r="B450" s="6" t="str">
        <f>HYPERLINK("http://www.ncbi.nlm.nih.gov/gene/11614", "11614")</f>
        <v>11614</v>
      </c>
      <c r="C450" s="6" t="str">
        <f>HYPERLINK("http://www.ncbi.nlm.nih.gov/gene/190", "190")</f>
        <v>190</v>
      </c>
      <c r="D450" t="str">
        <f>"Nr0b1"</f>
        <v>Nr0b1</v>
      </c>
      <c r="E450" t="s">
        <v>1387</v>
      </c>
      <c r="F450" t="s">
        <v>1394</v>
      </c>
      <c r="H450" s="517">
        <v>3</v>
      </c>
      <c r="I450" s="171">
        <v>4.1123737461654297</v>
      </c>
      <c r="J450" s="441">
        <v>4.1925287301919703</v>
      </c>
      <c r="K450" s="22">
        <v>5.1496098162791704</v>
      </c>
      <c r="L450" s="1957">
        <v>2.3877641606851499</v>
      </c>
      <c r="M450" s="993">
        <v>2.3418131972334502</v>
      </c>
      <c r="N450" s="1340">
        <v>2.2608020973456799</v>
      </c>
      <c r="O450" s="1264">
        <v>3.1776525698803701</v>
      </c>
      <c r="P450" s="820">
        <v>3.4937331509201002</v>
      </c>
      <c r="Q450" s="2209">
        <v>3.0703228250449799</v>
      </c>
      <c r="R450" s="1002">
        <v>2.4678997133473199</v>
      </c>
      <c r="S450" s="537">
        <v>2.4503822686482599</v>
      </c>
      <c r="T450" s="1398">
        <v>2.1401151516376</v>
      </c>
    </row>
    <row r="451" spans="1:20">
      <c r="A451" t="s">
        <v>1408</v>
      </c>
      <c r="B451" s="6" t="str">
        <f>HYPERLINK("http://www.ncbi.nlm.nih.gov/gene/18799", "18799")</f>
        <v>18799</v>
      </c>
      <c r="C451" s="6" t="str">
        <f>HYPERLINK("http://www.ncbi.nlm.nih.gov/gene/5333", "5333")</f>
        <v>5333</v>
      </c>
      <c r="D451" t="str">
        <f>"Plcd1"</f>
        <v>Plcd1</v>
      </c>
      <c r="E451" t="s">
        <v>1409</v>
      </c>
      <c r="F451" t="s">
        <v>1395</v>
      </c>
      <c r="G451" t="s">
        <v>1396</v>
      </c>
      <c r="H451" s="517">
        <v>3</v>
      </c>
      <c r="I451" s="477">
        <v>6.1832652296251203</v>
      </c>
      <c r="J451" s="261">
        <v>6.0109341220213803</v>
      </c>
      <c r="K451" s="469">
        <v>6.4136564741298496</v>
      </c>
      <c r="L451" s="1942">
        <v>5.1639363198014401</v>
      </c>
      <c r="M451" s="622">
        <v>5.2854516294345704</v>
      </c>
      <c r="N451" s="1563">
        <v>4.9585040002176903</v>
      </c>
      <c r="O451" s="1112">
        <v>5.4609861426456003</v>
      </c>
      <c r="P451" s="758">
        <v>5.7746370654053498</v>
      </c>
      <c r="Q451" s="2279">
        <v>5.5618832046273701</v>
      </c>
      <c r="R451" s="864">
        <v>5.20362809189331</v>
      </c>
      <c r="S451" s="592">
        <v>5.3354208223534298</v>
      </c>
      <c r="T451" s="660">
        <v>5.3338020215133204</v>
      </c>
    </row>
    <row r="452" spans="1:20">
      <c r="A452" t="s">
        <v>1397</v>
      </c>
      <c r="B452" s="6" t="str">
        <f>HYPERLINK("http://www.ncbi.nlm.nih.gov/gene/13017", "13017")</f>
        <v>13017</v>
      </c>
      <c r="C452" s="6" t="str">
        <f>HYPERLINK("http://www.ncbi.nlm.nih.gov/gene/1488", "1488")</f>
        <v>1488</v>
      </c>
      <c r="D452" t="str">
        <f>"Ctbp2"</f>
        <v>Ctbp2</v>
      </c>
      <c r="E452" t="s">
        <v>1398</v>
      </c>
      <c r="F452" t="s">
        <v>1401</v>
      </c>
      <c r="G452" t="s">
        <v>1402</v>
      </c>
      <c r="H452" s="517">
        <v>3</v>
      </c>
      <c r="I452" s="213">
        <v>8.5352012781143092</v>
      </c>
      <c r="J452" s="78">
        <v>8.4870967128104997</v>
      </c>
      <c r="K452" s="40">
        <v>8.7094508261607793</v>
      </c>
      <c r="L452" s="2284">
        <v>7.5989215875949103</v>
      </c>
      <c r="M452" s="1188">
        <v>7.6177040059149501</v>
      </c>
      <c r="N452" s="1556">
        <v>7.48429609991992</v>
      </c>
      <c r="O452" s="1130">
        <v>8.0078189474150197</v>
      </c>
      <c r="P452" s="1251">
        <v>8.0342603061599505</v>
      </c>
      <c r="Q452" s="1978">
        <v>8.1894748949033094</v>
      </c>
      <c r="R452" s="579">
        <v>7.7938953524240704</v>
      </c>
      <c r="S452" s="604">
        <v>7.8230983485829597</v>
      </c>
      <c r="T452" s="1287">
        <v>7.6905091778680097</v>
      </c>
    </row>
    <row r="453" spans="1:20">
      <c r="A453" t="s">
        <v>1403</v>
      </c>
      <c r="B453" s="6" t="str">
        <f>HYPERLINK("http://www.ncbi.nlm.nih.gov/gene/69993", "69993")</f>
        <v>69993</v>
      </c>
      <c r="C453" s="6" t="str">
        <f>HYPERLINK("http://www.ncbi.nlm.nih.gov/gene/1124", "1124")</f>
        <v>1124</v>
      </c>
      <c r="D453" t="str">
        <f>"Chn2"</f>
        <v>Chn2</v>
      </c>
      <c r="E453" t="s">
        <v>1404</v>
      </c>
      <c r="F453" t="s">
        <v>1405</v>
      </c>
      <c r="H453" s="517">
        <v>3</v>
      </c>
      <c r="I453" s="329">
        <v>7.2105467287982803</v>
      </c>
      <c r="J453" s="254">
        <v>7.0607299146577001</v>
      </c>
      <c r="K453" s="240">
        <v>7.1833644278005098</v>
      </c>
      <c r="L453" s="1863">
        <v>6.1746764840489403</v>
      </c>
      <c r="M453" s="555">
        <v>6.1723707705114403</v>
      </c>
      <c r="N453" s="1010">
        <v>6.0911256319796099</v>
      </c>
      <c r="O453" s="965">
        <v>6.5975073781565801</v>
      </c>
      <c r="P453" s="835">
        <v>6.5389617722822804</v>
      </c>
      <c r="Q453" s="2153">
        <v>6.4335010817511504</v>
      </c>
      <c r="R453" s="533">
        <v>6.3373969148130902</v>
      </c>
      <c r="S453" s="1215">
        <v>6.45272730172863</v>
      </c>
      <c r="T453" s="684">
        <v>6.1785210554695897</v>
      </c>
    </row>
    <row r="454" spans="1:20">
      <c r="A454" t="s">
        <v>1406</v>
      </c>
      <c r="B454" s="6" t="str">
        <f>HYPERLINK("http://www.ncbi.nlm.nih.gov/gene/77579", "77579")</f>
        <v>77579</v>
      </c>
      <c r="C454" s="6" t="str">
        <f>HYPERLINK("http://www.ncbi.nlm.nih.gov/gene/4628", "4628")</f>
        <v>4628</v>
      </c>
      <c r="D454" t="str">
        <f>"Myh10"</f>
        <v>Myh10</v>
      </c>
      <c r="E454" t="s">
        <v>1407</v>
      </c>
      <c r="F454" t="s">
        <v>1411</v>
      </c>
      <c r="G454" t="s">
        <v>1399</v>
      </c>
      <c r="H454" s="517">
        <v>3</v>
      </c>
      <c r="I454" s="48">
        <v>9.7769752290434795</v>
      </c>
      <c r="J454" s="477">
        <v>9.5882223163826303</v>
      </c>
      <c r="K454" s="119">
        <v>9.5740743125971903</v>
      </c>
      <c r="L454" s="1873">
        <v>8.3568752931971595</v>
      </c>
      <c r="M454" s="1289">
        <v>8.3371342623690392</v>
      </c>
      <c r="N454" s="1364">
        <v>8.2874880576722099</v>
      </c>
      <c r="O454" s="1399">
        <v>8.8345156337912698</v>
      </c>
      <c r="P454" s="1296">
        <v>8.8199667274202191</v>
      </c>
      <c r="Q454" s="2285">
        <v>8.9616677426691602</v>
      </c>
      <c r="R454" s="676">
        <v>8.6762099037739393</v>
      </c>
      <c r="S454" s="715">
        <v>8.52295792080246</v>
      </c>
      <c r="T454" s="1400">
        <v>8.4775147821197994</v>
      </c>
    </row>
    <row r="455" spans="1:20">
      <c r="A455" t="s">
        <v>1400</v>
      </c>
      <c r="B455" s="6" t="str">
        <f>HYPERLINK("http://www.ncbi.nlm.nih.gov/gene/20563", "20563")</f>
        <v>20563</v>
      </c>
      <c r="C455" s="6" t="str">
        <f>HYPERLINK("http://www.ncbi.nlm.nih.gov/gene/9353", "9353")</f>
        <v>9353</v>
      </c>
      <c r="D455" t="str">
        <f>"Slit2"</f>
        <v>Slit2</v>
      </c>
      <c r="E455" t="s">
        <v>1410</v>
      </c>
      <c r="F455" t="s">
        <v>1412</v>
      </c>
      <c r="G455" t="s">
        <v>604</v>
      </c>
      <c r="H455" s="517">
        <v>3</v>
      </c>
      <c r="I455" s="132">
        <v>9.5029778934142204</v>
      </c>
      <c r="J455" s="166">
        <v>9.3741023666063406</v>
      </c>
      <c r="K455" s="92">
        <v>9.4501838130021092</v>
      </c>
      <c r="L455" s="1873">
        <v>7.7171478275010204</v>
      </c>
      <c r="M455" s="1029">
        <v>7.7323675045760902</v>
      </c>
      <c r="N455" s="703">
        <v>7.6153720075754299</v>
      </c>
      <c r="O455" s="1232">
        <v>8.2483544694266993</v>
      </c>
      <c r="P455" s="528">
        <v>8.3192413413289401</v>
      </c>
      <c r="Q455" s="2286">
        <v>8.4225623056239307</v>
      </c>
      <c r="R455" s="892">
        <v>8.1043822765870299</v>
      </c>
      <c r="S455" s="712">
        <v>7.9726720314304398</v>
      </c>
      <c r="T455" s="857">
        <v>7.9321928419683996</v>
      </c>
    </row>
    <row r="456" spans="1:20">
      <c r="A456" t="s">
        <v>1416</v>
      </c>
      <c r="B456" s="6" t="str">
        <f>HYPERLINK("http://www.ncbi.nlm.nih.gov/gene/60440", "60440")</f>
        <v>60440</v>
      </c>
      <c r="C456" s="6" t="str">
        <f>HYPERLINK("http://www.ncbi.nlm.nih.gov/gene/", "")</f>
        <v/>
      </c>
      <c r="D456" t="str">
        <f>"Iigp1"</f>
        <v>Iigp1</v>
      </c>
      <c r="E456" t="s">
        <v>1417</v>
      </c>
      <c r="F456" t="s">
        <v>1418</v>
      </c>
      <c r="H456" s="517">
        <v>3</v>
      </c>
      <c r="I456" s="184">
        <v>7.9805281070873404</v>
      </c>
      <c r="J456" s="208">
        <v>8.0708576338056996</v>
      </c>
      <c r="K456" s="152">
        <v>8.2492845193281799</v>
      </c>
      <c r="L456" s="2195">
        <v>5.5118013087281899</v>
      </c>
      <c r="M456" s="1223">
        <v>5.6464535591913299</v>
      </c>
      <c r="N456" s="1448">
        <v>5.1227637480459602</v>
      </c>
      <c r="O456" s="1334">
        <v>6.3816925284475801</v>
      </c>
      <c r="P456" s="793">
        <v>6.2274108457309998</v>
      </c>
      <c r="Q456" s="2085">
        <v>6.4771801254581796</v>
      </c>
      <c r="R456" s="876">
        <v>5.4970584987329696</v>
      </c>
      <c r="S456" s="699">
        <v>6.0319967779330099</v>
      </c>
      <c r="T456" s="545">
        <v>5.6472045143884602</v>
      </c>
    </row>
    <row r="457" spans="1:20">
      <c r="A457" t="s">
        <v>1419</v>
      </c>
      <c r="B457" s="6" t="str">
        <f>HYPERLINK("http://www.ncbi.nlm.nih.gov/gene/66848", "66848")</f>
        <v>66848</v>
      </c>
      <c r="C457" s="6" t="str">
        <f>HYPERLINK("http://www.ncbi.nlm.nih.gov/gene/2519", "2519")</f>
        <v>2519</v>
      </c>
      <c r="D457" t="str">
        <f>"Fuca2"</f>
        <v>Fuca2</v>
      </c>
      <c r="E457" t="s">
        <v>1420</v>
      </c>
      <c r="F457" t="s">
        <v>1421</v>
      </c>
      <c r="G457" t="s">
        <v>1422</v>
      </c>
      <c r="H457" s="517">
        <v>3</v>
      </c>
      <c r="I457" s="366">
        <v>7.4506704200563796</v>
      </c>
      <c r="J457" s="117">
        <v>7.5641789341723999</v>
      </c>
      <c r="K457" s="222">
        <v>7.4845366373695503</v>
      </c>
      <c r="L457" s="1950">
        <v>6.3528740430354702</v>
      </c>
      <c r="M457" s="997">
        <v>6.3093733806771004</v>
      </c>
      <c r="N457" s="1025">
        <v>6.1162218089132603</v>
      </c>
      <c r="O457" s="1339">
        <v>6.7616854116501104</v>
      </c>
      <c r="P457" s="650">
        <v>6.7011235195288403</v>
      </c>
      <c r="Q457" s="2279">
        <v>6.7418630788108098</v>
      </c>
      <c r="R457" s="1181">
        <v>6.3515795532542203</v>
      </c>
      <c r="S457" s="1272">
        <v>6.5073625391970999</v>
      </c>
      <c r="T457" s="588">
        <v>6.5058211310313796</v>
      </c>
    </row>
    <row r="458" spans="1:20">
      <c r="A458" t="s">
        <v>1423</v>
      </c>
      <c r="B458" s="6" t="str">
        <f>HYPERLINK("http://www.ncbi.nlm.nih.gov/gene/239318", "239318")</f>
        <v>239318</v>
      </c>
      <c r="C458" s="6" t="str">
        <f>HYPERLINK("http://www.ncbi.nlm.nih.gov/gene/345557", "345557")</f>
        <v>345557</v>
      </c>
      <c r="D458" t="str">
        <f>"Plcxd3"</f>
        <v>Plcxd3</v>
      </c>
      <c r="E458" t="s">
        <v>1424</v>
      </c>
      <c r="F458" t="s">
        <v>1425</v>
      </c>
      <c r="H458" s="517">
        <v>3</v>
      </c>
      <c r="I458" s="412">
        <v>5.73795508610492</v>
      </c>
      <c r="J458" s="241">
        <v>5.9806559179663603</v>
      </c>
      <c r="K458" s="168">
        <v>6.4194287738841904</v>
      </c>
      <c r="L458" s="2276">
        <v>4.0387547762735796</v>
      </c>
      <c r="M458" s="1025">
        <v>4.1018176437778502</v>
      </c>
      <c r="N458" s="1591">
        <v>4.1793144693821596</v>
      </c>
      <c r="O458" s="1278">
        <v>4.9601197366135299</v>
      </c>
      <c r="P458" s="939">
        <v>5.2619134805784498</v>
      </c>
      <c r="Q458" s="2285">
        <v>5.20863043209732</v>
      </c>
      <c r="R458" s="1037">
        <v>4.4934342286454596</v>
      </c>
      <c r="S458" s="788">
        <v>5.1975400329833601</v>
      </c>
      <c r="T458" s="1402">
        <v>5.0019462790174503</v>
      </c>
    </row>
    <row r="459" spans="1:20">
      <c r="A459" t="s">
        <v>1426</v>
      </c>
      <c r="B459" s="6" t="str">
        <f>HYPERLINK("http://www.ncbi.nlm.nih.gov/gene/20167", "20167")</f>
        <v>20167</v>
      </c>
      <c r="C459" s="6" t="str">
        <f>HYPERLINK("http://www.ncbi.nlm.nih.gov/gene/6253", "6253")</f>
        <v>6253</v>
      </c>
      <c r="D459" t="str">
        <f>"Rtn2"</f>
        <v>Rtn2</v>
      </c>
      <c r="E459" t="s">
        <v>1427</v>
      </c>
      <c r="F459" t="s">
        <v>1413</v>
      </c>
      <c r="H459" s="517">
        <v>3</v>
      </c>
      <c r="I459" s="223">
        <v>4.3263021319330903</v>
      </c>
      <c r="J459" s="370">
        <v>4.2100529115920402</v>
      </c>
      <c r="K459" s="234">
        <v>4.3594050729703699</v>
      </c>
      <c r="L459" s="1856">
        <v>3.4277664844845601</v>
      </c>
      <c r="M459" s="1289">
        <v>3.33250830896207</v>
      </c>
      <c r="N459" s="1163">
        <v>2.99295488720362</v>
      </c>
      <c r="O459" s="1269">
        <v>3.7986115602107802</v>
      </c>
      <c r="P459" s="838">
        <v>3.8160982455955699</v>
      </c>
      <c r="Q459" s="2209">
        <v>3.7252941804214998</v>
      </c>
      <c r="R459" s="1087">
        <v>3.3646464151000002</v>
      </c>
      <c r="S459" s="750">
        <v>3.79800495419595</v>
      </c>
      <c r="T459" s="1392">
        <v>3.7103721390984399</v>
      </c>
    </row>
    <row r="460" spans="1:20">
      <c r="A460" t="s">
        <v>1414</v>
      </c>
      <c r="B460" s="6" t="str">
        <f>HYPERLINK("http://www.ncbi.nlm.nih.gov/gene/23967", "23967")</f>
        <v>23967</v>
      </c>
      <c r="C460" s="6" t="str">
        <f>HYPERLINK("http://www.ncbi.nlm.nih.gov/gene/130497", "130497")</f>
        <v>130497</v>
      </c>
      <c r="D460" t="str">
        <f>"Osr1"</f>
        <v>Osr1</v>
      </c>
      <c r="E460" t="s">
        <v>1415</v>
      </c>
      <c r="F460" t="s">
        <v>1428</v>
      </c>
      <c r="H460" s="517">
        <v>3</v>
      </c>
      <c r="I460" s="279">
        <v>10.607549150170399</v>
      </c>
      <c r="J460" s="346">
        <v>10.478719229832</v>
      </c>
      <c r="K460" s="477">
        <v>10.617215613903101</v>
      </c>
      <c r="L460" s="1911">
        <v>9.4127145474697897</v>
      </c>
      <c r="M460" s="1330">
        <v>9.50427007575583</v>
      </c>
      <c r="N460" s="863">
        <v>9.4343404693042192</v>
      </c>
      <c r="O460" s="1403">
        <v>10.107845465424401</v>
      </c>
      <c r="P460" s="1267">
        <v>10.1156538225319</v>
      </c>
      <c r="Q460" s="2287">
        <v>10.1758047415939</v>
      </c>
      <c r="R460" s="1327">
        <v>9.4293196589800203</v>
      </c>
      <c r="S460" s="550">
        <v>9.8804052110435308</v>
      </c>
      <c r="T460" s="1404">
        <v>9.9729442863389792</v>
      </c>
    </row>
    <row r="461" spans="1:20">
      <c r="A461" t="s">
        <v>1429</v>
      </c>
      <c r="B461" s="6" t="str">
        <f>HYPERLINK("http://www.ncbi.nlm.nih.gov/gene/244864", "244864")</f>
        <v>244864</v>
      </c>
      <c r="C461" s="6" t="str">
        <f>HYPERLINK("http://www.ncbi.nlm.nih.gov/gene/143903", "143903")</f>
        <v>143903</v>
      </c>
      <c r="D461" t="str">
        <f>"Layn"</f>
        <v>Layn</v>
      </c>
      <c r="E461" t="s">
        <v>1430</v>
      </c>
      <c r="F461" t="s">
        <v>1431</v>
      </c>
      <c r="H461" s="517">
        <v>3</v>
      </c>
      <c r="I461" s="78">
        <v>7.3458337858829603</v>
      </c>
      <c r="J461" s="244">
        <v>7.3436149143134699</v>
      </c>
      <c r="K461" s="316">
        <v>7.4772233750586601</v>
      </c>
      <c r="L461" s="2264">
        <v>5.9029467451384701</v>
      </c>
      <c r="M461" s="1558">
        <v>5.7684328537715599</v>
      </c>
      <c r="N461" s="1327">
        <v>5.8956578376136397</v>
      </c>
      <c r="O461" s="1312">
        <v>6.88288504452174</v>
      </c>
      <c r="P461" s="1213">
        <v>6.70616252315937</v>
      </c>
      <c r="Q461" s="2288">
        <v>7.0207171760327904</v>
      </c>
      <c r="R461" s="1081">
        <v>6.2291706379646499</v>
      </c>
      <c r="S461" s="600">
        <v>6.3840762070733996</v>
      </c>
      <c r="T461" s="1405">
        <v>6.4946682492644401</v>
      </c>
    </row>
    <row r="462" spans="1:20">
      <c r="A462" t="s">
        <v>1432</v>
      </c>
      <c r="B462" s="6" t="str">
        <f>HYPERLINK("http://www.ncbi.nlm.nih.gov/gene/212111", "212111")</f>
        <v>212111</v>
      </c>
      <c r="C462" s="6" t="str">
        <f>HYPERLINK("http://www.ncbi.nlm.nih.gov/gene/3632", "3632")</f>
        <v>3632</v>
      </c>
      <c r="D462" t="str">
        <f>"Inpp5a"</f>
        <v>Inpp5a</v>
      </c>
      <c r="E462" t="s">
        <v>1433</v>
      </c>
      <c r="F462" t="s">
        <v>1434</v>
      </c>
      <c r="G462" t="s">
        <v>1435</v>
      </c>
      <c r="H462" s="517">
        <v>3</v>
      </c>
      <c r="I462" s="366">
        <v>8.2249220220010102</v>
      </c>
      <c r="J462" s="183">
        <v>8.0974269494433599</v>
      </c>
      <c r="K462" s="186">
        <v>8.2318050257658602</v>
      </c>
      <c r="L462" s="1939">
        <v>6.9529011214616503</v>
      </c>
      <c r="M462" s="722">
        <v>6.9628171550696401</v>
      </c>
      <c r="N462" s="1160">
        <v>6.85480092921651</v>
      </c>
      <c r="O462" s="1406">
        <v>7.6707151691346898</v>
      </c>
      <c r="P462" s="626">
        <v>7.6025413746970401</v>
      </c>
      <c r="Q462" s="2289">
        <v>7.7947877352676</v>
      </c>
      <c r="R462" s="622">
        <v>7.2139399433477003</v>
      </c>
      <c r="S462" s="599">
        <v>7.2910030834193602</v>
      </c>
      <c r="T462" s="588">
        <v>7.2821295450296804</v>
      </c>
    </row>
    <row r="463" spans="1:20">
      <c r="A463" t="s">
        <v>1436</v>
      </c>
      <c r="B463" s="6" t="str">
        <f>HYPERLINK("http://www.ncbi.nlm.nih.gov/gene/20319", "20319")</f>
        <v>20319</v>
      </c>
      <c r="C463" s="6" t="str">
        <f>HYPERLINK("http://www.ncbi.nlm.nih.gov/gene/6423", "6423")</f>
        <v>6423</v>
      </c>
      <c r="D463" t="str">
        <f>"Sfrp2"</f>
        <v>Sfrp2</v>
      </c>
      <c r="E463" t="s">
        <v>1437</v>
      </c>
      <c r="F463" t="s">
        <v>1438</v>
      </c>
      <c r="G463" t="s">
        <v>611</v>
      </c>
      <c r="H463" s="517">
        <v>3</v>
      </c>
      <c r="I463" s="271">
        <v>9.8719751194769394</v>
      </c>
      <c r="J463" s="368">
        <v>9.7828868186969196</v>
      </c>
      <c r="K463" s="167">
        <v>9.9388904946597503</v>
      </c>
      <c r="L463" s="2263">
        <v>7.1212739055906198</v>
      </c>
      <c r="M463" s="1017">
        <v>7.2622665941114404</v>
      </c>
      <c r="N463" s="1653">
        <v>7.0446095463502401</v>
      </c>
      <c r="O463" s="874">
        <v>8.9822626708123696</v>
      </c>
      <c r="P463" s="887">
        <v>8.8968161248673496</v>
      </c>
      <c r="Q463" s="2210">
        <v>9.0350138096183894</v>
      </c>
      <c r="R463" s="604">
        <v>8.0674714231552294</v>
      </c>
      <c r="S463" s="579">
        <v>7.9843551942448396</v>
      </c>
      <c r="T463" s="1407">
        <v>8.2108959062761997</v>
      </c>
    </row>
    <row r="464" spans="1:20">
      <c r="A464" t="s">
        <v>1455</v>
      </c>
      <c r="B464" s="6" t="str">
        <f>HYPERLINK("http://www.ncbi.nlm.nih.gov/gene/71371", "71371")</f>
        <v>71371</v>
      </c>
      <c r="C464" s="6" t="str">
        <f>HYPERLINK("http://www.ncbi.nlm.nih.gov/gene/84159", "84159")</f>
        <v>84159</v>
      </c>
      <c r="D464" t="str">
        <f>"Arid5b"</f>
        <v>Arid5b</v>
      </c>
      <c r="E464" t="s">
        <v>1456</v>
      </c>
      <c r="F464" t="s">
        <v>1439</v>
      </c>
      <c r="H464" s="517">
        <v>3</v>
      </c>
      <c r="I464" s="240">
        <v>9.0254558889736192</v>
      </c>
      <c r="J464" s="171">
        <v>8.7696376488100203</v>
      </c>
      <c r="K464" s="161">
        <v>8.9079426920639104</v>
      </c>
      <c r="L464" s="1903">
        <v>7.6774740714506899</v>
      </c>
      <c r="M464" s="578">
        <v>7.8275612132343797</v>
      </c>
      <c r="N464" s="987">
        <v>7.7993679972093899</v>
      </c>
      <c r="O464" s="1269">
        <v>8.3461189320036695</v>
      </c>
      <c r="P464" s="1297">
        <v>8.3536902730018507</v>
      </c>
      <c r="Q464" s="1992">
        <v>8.6341690806019091</v>
      </c>
      <c r="R464" s="1040">
        <v>7.9015545219605103</v>
      </c>
      <c r="S464" s="738">
        <v>8.1290421657565197</v>
      </c>
      <c r="T464" s="1347">
        <v>7.9509657020724402</v>
      </c>
    </row>
    <row r="465" spans="1:20">
      <c r="A465" t="s">
        <v>1440</v>
      </c>
      <c r="B465" s="6" t="str">
        <f>HYPERLINK("http://www.ncbi.nlm.nih.gov/gene/241520", "241520")</f>
        <v>241520</v>
      </c>
      <c r="C465" s="6" t="str">
        <f>HYPERLINK("http://www.ncbi.nlm.nih.gov/gene/165215", "165215")</f>
        <v>165215</v>
      </c>
      <c r="D465" t="str">
        <f>"Fam171b"</f>
        <v>Fam171b</v>
      </c>
      <c r="E465" t="s">
        <v>1441</v>
      </c>
      <c r="F465" t="s">
        <v>37</v>
      </c>
      <c r="H465" s="517">
        <v>3</v>
      </c>
      <c r="I465" s="166">
        <v>8.1389246917001294</v>
      </c>
      <c r="J465" s="77">
        <v>8.0488150035728303</v>
      </c>
      <c r="K465" s="217">
        <v>8.1526677982976903</v>
      </c>
      <c r="L465" s="2290">
        <v>6.2678313897333702</v>
      </c>
      <c r="M465" s="1412">
        <v>6.4718480935153702</v>
      </c>
      <c r="N465" s="1346">
        <v>6.6901887514142304</v>
      </c>
      <c r="O465" s="969">
        <v>7.3204826847929096</v>
      </c>
      <c r="P465" s="916">
        <v>7.3299801780871396</v>
      </c>
      <c r="Q465" s="2086">
        <v>7.2974410089125099</v>
      </c>
      <c r="R465" s="1181">
        <v>6.6781671388995996</v>
      </c>
      <c r="S465" s="854">
        <v>7.0991209352155904</v>
      </c>
      <c r="T465" s="556">
        <v>6.7043482991280996</v>
      </c>
    </row>
    <row r="466" spans="1:20">
      <c r="A466" t="s">
        <v>1442</v>
      </c>
      <c r="B466" s="6" t="str">
        <f>HYPERLINK("http://www.ncbi.nlm.nih.gov/gene/667597", "667597")</f>
        <v>667597</v>
      </c>
      <c r="C466" s="6" t="str">
        <f>HYPERLINK("http://www.ncbi.nlm.nih.gov/gene/", "")</f>
        <v/>
      </c>
      <c r="D466" t="str">
        <f>"BC023105"</f>
        <v>BC023105</v>
      </c>
      <c r="E466" t="s">
        <v>1443</v>
      </c>
      <c r="H466" s="517">
        <v>3</v>
      </c>
      <c r="I466" s="258">
        <v>5.2559418007935896</v>
      </c>
      <c r="J466" s="85">
        <v>5.3760303585639297</v>
      </c>
      <c r="K466" s="208">
        <v>5.4814461645435797</v>
      </c>
      <c r="L466" s="2264">
        <v>3.6182747944427098</v>
      </c>
      <c r="M466" s="993">
        <v>3.8858846651366798</v>
      </c>
      <c r="N466" s="1646">
        <v>3.5952242936393</v>
      </c>
      <c r="O466" s="1273">
        <v>4.5241791439031003</v>
      </c>
      <c r="P466" s="875">
        <v>4.7583915019004603</v>
      </c>
      <c r="Q466" s="2291">
        <v>4.72704441342779</v>
      </c>
      <c r="R466" s="1308">
        <v>3.73593013354016</v>
      </c>
      <c r="S466" s="869">
        <v>4.2753805550335802</v>
      </c>
      <c r="T466" s="1408">
        <v>3.9936939113963299</v>
      </c>
    </row>
    <row r="467" spans="1:20">
      <c r="A467" t="s">
        <v>1444</v>
      </c>
      <c r="B467" s="6" t="str">
        <f>HYPERLINK("http://www.ncbi.nlm.nih.gov/gene/74760", "74760")</f>
        <v>74760</v>
      </c>
      <c r="C467" s="6" t="str">
        <f>HYPERLINK("http://www.ncbi.nlm.nih.gov/gene/5866", "5866")</f>
        <v>5866</v>
      </c>
      <c r="D467" t="str">
        <f>"Rab3il1"</f>
        <v>Rab3il1</v>
      </c>
      <c r="E467" t="s">
        <v>1445</v>
      </c>
      <c r="F467" t="s">
        <v>1446</v>
      </c>
      <c r="H467" s="517">
        <v>3</v>
      </c>
      <c r="I467" s="359">
        <v>6.0462103877628</v>
      </c>
      <c r="J467" s="271">
        <v>6.3624639167788901</v>
      </c>
      <c r="K467" s="271">
        <v>6.3651270801077704</v>
      </c>
      <c r="L467" s="2292">
        <v>4.5251413801986002</v>
      </c>
      <c r="M467" s="662">
        <v>5.1679761156426798</v>
      </c>
      <c r="N467" s="1651">
        <v>4.4971286845673903</v>
      </c>
      <c r="O467" s="1409">
        <v>5.9660552423209703</v>
      </c>
      <c r="P467" s="825">
        <v>5.8557938949042301</v>
      </c>
      <c r="Q467" s="2293">
        <v>5.8539951505132501</v>
      </c>
      <c r="R467" s="743">
        <v>5.4718688722337401</v>
      </c>
      <c r="S467" s="554">
        <v>5.1989327320375596</v>
      </c>
      <c r="T467" s="673">
        <v>5.2639725786870404</v>
      </c>
    </row>
    <row r="468" spans="1:20">
      <c r="A468" t="s">
        <v>1447</v>
      </c>
      <c r="B468" s="6" t="str">
        <f>HYPERLINK("http://www.ncbi.nlm.nih.gov/gene/104027", "104027")</f>
        <v>104027</v>
      </c>
      <c r="C468" s="6" t="str">
        <f>HYPERLINK("http://www.ncbi.nlm.nih.gov/gene/11346", "11346")</f>
        <v>11346</v>
      </c>
      <c r="D468" t="str">
        <f>"Synpo"</f>
        <v>Synpo</v>
      </c>
      <c r="E468" t="s">
        <v>1448</v>
      </c>
      <c r="F468" t="s">
        <v>1449</v>
      </c>
      <c r="H468" s="517">
        <v>3</v>
      </c>
      <c r="I468" s="117">
        <v>5.8070856302787499</v>
      </c>
      <c r="J468" s="500">
        <v>5.2833731211772603</v>
      </c>
      <c r="K468" s="166">
        <v>5.6966778625968599</v>
      </c>
      <c r="L468" s="2294">
        <v>4.0870766081652201</v>
      </c>
      <c r="M468" s="1326">
        <v>4.8107170498497904</v>
      </c>
      <c r="N468" s="1317">
        <v>4.1844183151553898</v>
      </c>
      <c r="O468" s="1129">
        <v>4.9730409749948299</v>
      </c>
      <c r="P468" s="950">
        <v>5.0837461185406196</v>
      </c>
      <c r="Q468" s="2295">
        <v>5.2109707308326101</v>
      </c>
      <c r="R468" s="583">
        <v>4.6185093889114297</v>
      </c>
      <c r="S468" s="572">
        <v>4.5768696619628901</v>
      </c>
      <c r="T468" s="588">
        <v>4.6648226098068299</v>
      </c>
    </row>
    <row r="469" spans="1:20">
      <c r="A469" t="s">
        <v>1450</v>
      </c>
      <c r="B469" s="6" t="str">
        <f>HYPERLINK("http://www.ncbi.nlm.nih.gov/gene/14464", "14464")</f>
        <v>14464</v>
      </c>
      <c r="C469" s="6" t="str">
        <f>HYPERLINK("http://www.ncbi.nlm.nih.gov/gene/140628", "140628")</f>
        <v>140628</v>
      </c>
      <c r="D469" t="str">
        <f>"Gata5"</f>
        <v>Gata5</v>
      </c>
      <c r="E469" t="s">
        <v>1451</v>
      </c>
      <c r="F469" t="s">
        <v>1452</v>
      </c>
      <c r="H469" s="517">
        <v>3</v>
      </c>
      <c r="I469" s="484">
        <v>7.5496161573645599</v>
      </c>
      <c r="J469" s="29">
        <v>7.5258896846474004</v>
      </c>
      <c r="K469" s="171">
        <v>7.5614582484701698</v>
      </c>
      <c r="L469" s="1856">
        <v>4.4376421173144402</v>
      </c>
      <c r="M469" s="1167">
        <v>3.90351773283273</v>
      </c>
      <c r="N469" s="1147">
        <v>3.7595658381866599</v>
      </c>
      <c r="O469" s="620">
        <v>7.4013518286865603</v>
      </c>
      <c r="P469" s="938">
        <v>7.2642667917865698</v>
      </c>
      <c r="Q469" s="1836">
        <v>6.9487336957580803</v>
      </c>
      <c r="R469" s="997">
        <v>4.2320430339213999</v>
      </c>
      <c r="S469" s="987">
        <v>3.94774562692603</v>
      </c>
      <c r="T469" s="684">
        <v>4.18844973463115</v>
      </c>
    </row>
    <row r="470" spans="1:20">
      <c r="A470" t="s">
        <v>1453</v>
      </c>
      <c r="B470" s="6" t="str">
        <f>HYPERLINK("http://www.ncbi.nlm.nih.gov/gene/14465", "14465")</f>
        <v>14465</v>
      </c>
      <c r="C470" s="6" t="str">
        <f>HYPERLINK("http://www.ncbi.nlm.nih.gov/gene/2627", "2627")</f>
        <v>2627</v>
      </c>
      <c r="D470" t="str">
        <f>"Gata6"</f>
        <v>Gata6</v>
      </c>
      <c r="E470" t="s">
        <v>1454</v>
      </c>
      <c r="F470" t="s">
        <v>1457</v>
      </c>
      <c r="H470" s="517">
        <v>3</v>
      </c>
      <c r="I470" s="322">
        <v>9.6472151545066005</v>
      </c>
      <c r="J470" s="461">
        <v>9.7054826820087605</v>
      </c>
      <c r="K470" s="379">
        <v>9.6371615502545804</v>
      </c>
      <c r="L470" s="1943">
        <v>6.7906683892021702</v>
      </c>
      <c r="M470" s="987">
        <v>6.9206918902347399</v>
      </c>
      <c r="N470" s="1173">
        <v>6.4824051952772503</v>
      </c>
      <c r="O470" s="903">
        <v>9.4633064387170993</v>
      </c>
      <c r="P470" s="890">
        <v>9.44648094655326</v>
      </c>
      <c r="Q470" s="2027">
        <v>9.6172707195893192</v>
      </c>
      <c r="R470" s="641">
        <v>7.27987788629504</v>
      </c>
      <c r="S470" s="688">
        <v>7.3203767589877602</v>
      </c>
      <c r="T470" s="1372">
        <v>7.3909236900561703</v>
      </c>
    </row>
    <row r="471" spans="1:20">
      <c r="A471" t="s">
        <v>1458</v>
      </c>
      <c r="B471" s="6" t="str">
        <f>HYPERLINK("http://www.ncbi.nlm.nih.gov/gene/57246", "57246")</f>
        <v>57246</v>
      </c>
      <c r="C471" s="6" t="str">
        <f>HYPERLINK("http://www.ncbi.nlm.nih.gov/gene/57057", "57057")</f>
        <v>57057</v>
      </c>
      <c r="D471" t="str">
        <f>"Tbx20"</f>
        <v>Tbx20</v>
      </c>
      <c r="E471" t="s">
        <v>1459</v>
      </c>
      <c r="F471" t="s">
        <v>1460</v>
      </c>
      <c r="H471" s="517">
        <v>3</v>
      </c>
      <c r="I471" s="346">
        <v>8.5799694847263108</v>
      </c>
      <c r="J471" s="484">
        <v>8.4687204854825406</v>
      </c>
      <c r="K471" s="355">
        <v>8.3907466915650204</v>
      </c>
      <c r="L471" s="2278">
        <v>4.2888898368728299</v>
      </c>
      <c r="M471" s="1174">
        <v>4.5928161933047003</v>
      </c>
      <c r="N471" s="1563">
        <v>3.96882489194337</v>
      </c>
      <c r="O471" s="911">
        <v>8.1520760719054195</v>
      </c>
      <c r="P471" s="973">
        <v>7.8722096446637702</v>
      </c>
      <c r="Q471" s="2296">
        <v>8.1139915008113892</v>
      </c>
      <c r="R471" s="663">
        <v>5.2789276600594803</v>
      </c>
      <c r="S471" s="1037">
        <v>5.1037322608853399</v>
      </c>
      <c r="T471" s="1282">
        <v>5.0956218462001397</v>
      </c>
    </row>
    <row r="472" spans="1:20">
      <c r="A472" t="s">
        <v>1461</v>
      </c>
      <c r="B472" s="6" t="str">
        <f>HYPERLINK("http://www.ncbi.nlm.nih.gov/gene/13617", "13617")</f>
        <v>13617</v>
      </c>
      <c r="C472" s="6" t="str">
        <f>HYPERLINK("http://www.ncbi.nlm.nih.gov/gene/1909", "1909")</f>
        <v>1909</v>
      </c>
      <c r="D472" t="str">
        <f>"Ednra"</f>
        <v>Ednra</v>
      </c>
      <c r="E472" t="s">
        <v>1462</v>
      </c>
      <c r="F472" t="s">
        <v>1463</v>
      </c>
      <c r="G472" t="s">
        <v>123</v>
      </c>
      <c r="H472" s="517">
        <v>3</v>
      </c>
      <c r="I472" s="29">
        <v>9.3535675650025105</v>
      </c>
      <c r="J472" s="412">
        <v>9.2482574208867607</v>
      </c>
      <c r="K472" s="454">
        <v>9.3203005015344509</v>
      </c>
      <c r="L472" s="1906">
        <v>7.5548355964911797</v>
      </c>
      <c r="M472" s="1167">
        <v>7.5826118033770697</v>
      </c>
      <c r="N472" s="1321">
        <v>7.4668538387913701</v>
      </c>
      <c r="O472" s="1410">
        <v>9.2214721113048093</v>
      </c>
      <c r="P472" s="934">
        <v>9.1717827480695497</v>
      </c>
      <c r="Q472" s="2297">
        <v>9.3517299525050692</v>
      </c>
      <c r="R472" s="1340">
        <v>7.7239906596969599</v>
      </c>
      <c r="S472" s="573">
        <v>7.8861335497398297</v>
      </c>
      <c r="T472" s="1293">
        <v>7.8177989992665404</v>
      </c>
    </row>
    <row r="473" spans="1:20">
      <c r="A473" t="s">
        <v>1465</v>
      </c>
      <c r="B473" s="6" t="str">
        <f>HYPERLINK("http://www.ncbi.nlm.nih.gov/gene/21334", "21334")</f>
        <v>21334</v>
      </c>
      <c r="C473" s="6" t="str">
        <f>HYPERLINK("http://www.ncbi.nlm.nih.gov/gene/6866", "6866")</f>
        <v>6866</v>
      </c>
      <c r="D473" t="str">
        <f>"Tac2"</f>
        <v>Tac2</v>
      </c>
      <c r="E473" t="s">
        <v>1466</v>
      </c>
      <c r="F473" t="s">
        <v>1467</v>
      </c>
      <c r="H473" s="517">
        <v>3</v>
      </c>
      <c r="I473" s="67">
        <v>7.09466279525786</v>
      </c>
      <c r="J473" s="461">
        <v>7.0545401248407797</v>
      </c>
      <c r="K473" s="370">
        <v>7.1771121910852997</v>
      </c>
      <c r="L473" s="2146">
        <v>4.8237240804294697</v>
      </c>
      <c r="M473" s="1308">
        <v>4.3886912562547602</v>
      </c>
      <c r="N473" s="1447">
        <v>4.0898780975233402</v>
      </c>
      <c r="O473" s="886">
        <v>6.3487655104517202</v>
      </c>
      <c r="P473" s="1170">
        <v>7.0435839548271097</v>
      </c>
      <c r="Q473" s="2296">
        <v>6.8269643383440997</v>
      </c>
      <c r="R473" s="1323">
        <v>4.2427444098261304</v>
      </c>
      <c r="S473" s="1181">
        <v>4.7095839164270004</v>
      </c>
      <c r="T473" s="730">
        <v>4.7154917679111303</v>
      </c>
    </row>
    <row r="474" spans="1:20">
      <c r="A474" t="s">
        <v>1468</v>
      </c>
      <c r="B474" s="6" t="str">
        <f>HYPERLINK("http://www.ncbi.nlm.nih.gov/gene/72603", "72603")</f>
        <v>72603</v>
      </c>
      <c r="C474" s="6" t="str">
        <f>HYPERLINK("http://www.ncbi.nlm.nih.gov/gene/", "")</f>
        <v/>
      </c>
      <c r="D474" t="str">
        <f>"2700033N17Rik"</f>
        <v>2700033N17Rik</v>
      </c>
      <c r="E474" t="s">
        <v>1469</v>
      </c>
      <c r="H474" s="517">
        <v>3</v>
      </c>
      <c r="I474" s="358">
        <v>6.9616285022664597</v>
      </c>
      <c r="J474" s="78">
        <v>7.0556360045257804</v>
      </c>
      <c r="K474" s="358">
        <v>6.9545874375623704</v>
      </c>
      <c r="L474" s="1952">
        <v>4.7664947068914199</v>
      </c>
      <c r="M474" s="1188">
        <v>4.5195582964876104</v>
      </c>
      <c r="N474" s="578">
        <v>4.4900379236806698</v>
      </c>
      <c r="O474" s="898">
        <v>6.3544972772960602</v>
      </c>
      <c r="P474" s="912">
        <v>6.5518029245995404</v>
      </c>
      <c r="Q474" s="2298">
        <v>6.6140370236096002</v>
      </c>
      <c r="R474" s="1412">
        <v>4.3434749392832401</v>
      </c>
      <c r="S474" s="1029">
        <v>4.55153039781597</v>
      </c>
      <c r="T474" s="1381">
        <v>4.4145065061040896</v>
      </c>
    </row>
    <row r="475" spans="1:20">
      <c r="A475" t="s">
        <v>1470</v>
      </c>
      <c r="B475" s="6" t="str">
        <f>HYPERLINK("http://www.ncbi.nlm.nih.gov/gene/634731", "634731")</f>
        <v>634731</v>
      </c>
      <c r="C475" s="6" t="str">
        <f>HYPERLINK("http://www.ncbi.nlm.nih.gov/gene/64420", "64420")</f>
        <v>64420</v>
      </c>
      <c r="D475" t="str">
        <f>"Susd1"</f>
        <v>Susd1</v>
      </c>
      <c r="E475" t="s">
        <v>1471</v>
      </c>
      <c r="F475" t="s">
        <v>90</v>
      </c>
      <c r="H475" s="517">
        <v>3</v>
      </c>
      <c r="I475" s="183">
        <v>5.5506728041299702</v>
      </c>
      <c r="J475" s="77">
        <v>5.6391610321366299</v>
      </c>
      <c r="K475" s="145">
        <v>5.54587041349098</v>
      </c>
      <c r="L475" s="2117">
        <v>3.8784165768252299</v>
      </c>
      <c r="M475" s="1188">
        <v>4.2600068582375901</v>
      </c>
      <c r="N475" s="1174">
        <v>4.21542794860654</v>
      </c>
      <c r="O475" s="1413">
        <v>4.9763490791996299</v>
      </c>
      <c r="P475" s="934">
        <v>5.33363451748051</v>
      </c>
      <c r="Q475" s="2299">
        <v>5.18733670813958</v>
      </c>
      <c r="R475" s="1002">
        <v>4.4291372924893899</v>
      </c>
      <c r="S475" s="537">
        <v>4.4200500881956</v>
      </c>
      <c r="T475" s="1352">
        <v>4.5584244258996502</v>
      </c>
    </row>
    <row r="476" spans="1:20">
      <c r="A476" t="s">
        <v>1472</v>
      </c>
      <c r="B476" s="6" t="str">
        <f>HYPERLINK("http://www.ncbi.nlm.nih.gov/gene/240776", "240776")</f>
        <v>240776</v>
      </c>
      <c r="C476" s="6" t="str">
        <f>HYPERLINK("http://www.ncbi.nlm.nih.gov/gene/343450", "343450")</f>
        <v>343450</v>
      </c>
      <c r="D476" t="str">
        <f>"Kcnt2"</f>
        <v>Kcnt2</v>
      </c>
      <c r="E476" t="s">
        <v>1473</v>
      </c>
      <c r="F476" t="s">
        <v>1474</v>
      </c>
      <c r="H476" s="517">
        <v>3</v>
      </c>
      <c r="I476" s="360">
        <v>4.7300769086022596</v>
      </c>
      <c r="J476" s="86">
        <v>4.9888745568710702</v>
      </c>
      <c r="K476" s="241">
        <v>4.9709826633383498</v>
      </c>
      <c r="L476" s="2263">
        <v>2.3706024490287598</v>
      </c>
      <c r="M476" s="1367">
        <v>2.9960984150907399</v>
      </c>
      <c r="N476" s="1223">
        <v>3.0101210666965401</v>
      </c>
      <c r="O476" s="954">
        <v>4.0615249983981103</v>
      </c>
      <c r="P476" s="542">
        <v>4.7766528236122801</v>
      </c>
      <c r="Q476" s="2300">
        <v>4.3966952182245</v>
      </c>
      <c r="R476" s="1302">
        <v>2.7347275614718098</v>
      </c>
      <c r="S476" s="1191">
        <v>2.8244327829731501</v>
      </c>
      <c r="T476" s="1415">
        <v>2.7077373991133902</v>
      </c>
    </row>
    <row r="477" spans="1:20">
      <c r="A477" t="s">
        <v>1475</v>
      </c>
      <c r="B477" s="6" t="str">
        <f>HYPERLINK("http://www.ncbi.nlm.nih.gov/gene/68070", "68070")</f>
        <v>68070</v>
      </c>
      <c r="C477" s="6" t="str">
        <f>HYPERLINK("http://www.ncbi.nlm.nih.gov/gene/23037", "23037")</f>
        <v>23037</v>
      </c>
      <c r="D477" t="str">
        <f>"Pdzd2"</f>
        <v>Pdzd2</v>
      </c>
      <c r="E477" t="s">
        <v>1476</v>
      </c>
      <c r="F477" t="s">
        <v>1477</v>
      </c>
      <c r="H477" s="517">
        <v>3</v>
      </c>
      <c r="I477" s="153">
        <v>5.48800844465124</v>
      </c>
      <c r="J477" s="359">
        <v>5.3448268410247604</v>
      </c>
      <c r="K477" s="358">
        <v>5.5056346559803</v>
      </c>
      <c r="L477" s="2098">
        <v>4.37921618856676</v>
      </c>
      <c r="M477" s="1759">
        <v>4.1812045583324897</v>
      </c>
      <c r="N477" s="1281">
        <v>4.5129047939009803</v>
      </c>
      <c r="O477" s="1416">
        <v>5.2803142770264202</v>
      </c>
      <c r="P477" s="559">
        <v>5.5676201128368996</v>
      </c>
      <c r="Q477" s="2289">
        <v>5.2368065043587997</v>
      </c>
      <c r="R477" s="1346">
        <v>4.5878365032603901</v>
      </c>
      <c r="S477" s="708">
        <v>4.6758857846036399</v>
      </c>
      <c r="T477" s="605">
        <v>4.7477624911930603</v>
      </c>
    </row>
    <row r="478" spans="1:20">
      <c r="A478" t="s">
        <v>1478</v>
      </c>
      <c r="B478" s="6" t="str">
        <f>HYPERLINK("http://www.ncbi.nlm.nih.gov/gene/320174", "320174")</f>
        <v>320174</v>
      </c>
      <c r="C478" s="6" t="str">
        <f>HYPERLINK("http://www.ncbi.nlm.nih.gov/gene/", "")</f>
        <v/>
      </c>
      <c r="D478" t="str">
        <f>"A830082K12Rik"</f>
        <v>A830082K12Rik</v>
      </c>
      <c r="E478" t="s">
        <v>1479</v>
      </c>
      <c r="F478" t="s">
        <v>90</v>
      </c>
      <c r="H478" s="517">
        <v>3</v>
      </c>
      <c r="I478" s="261">
        <v>7.3761108318867503</v>
      </c>
      <c r="J478" s="363">
        <v>7.3052535431203403</v>
      </c>
      <c r="K478" s="347">
        <v>7.2305062976705798</v>
      </c>
      <c r="L478" s="2301">
        <v>4.21276721359202</v>
      </c>
      <c r="M478" s="1017">
        <v>4.6580711948643199</v>
      </c>
      <c r="N478" s="722">
        <v>4.7277845788286896</v>
      </c>
      <c r="O478" s="1417">
        <v>7.1096622245112799</v>
      </c>
      <c r="P478" s="927">
        <v>7.2554118960805196</v>
      </c>
      <c r="Q478" s="2005">
        <v>7.2493488797852397</v>
      </c>
      <c r="R478" s="572">
        <v>5.3405758829905903</v>
      </c>
      <c r="S478" s="680">
        <v>5.6597768869703602</v>
      </c>
      <c r="T478" s="568">
        <v>5.3113089690767596</v>
      </c>
    </row>
    <row r="479" spans="1:20">
      <c r="A479" t="s">
        <v>1490</v>
      </c>
      <c r="B479" s="6" t="str">
        <f>HYPERLINK("http://www.ncbi.nlm.nih.gov/gene/260409", "260409")</f>
        <v>260409</v>
      </c>
      <c r="C479" s="6" t="str">
        <f>HYPERLINK("http://www.ncbi.nlm.nih.gov/gene/10602", "10602")</f>
        <v>10602</v>
      </c>
      <c r="D479" t="str">
        <f>"Cdc42ep3"</f>
        <v>Cdc42ep3</v>
      </c>
      <c r="E479" t="s">
        <v>1491</v>
      </c>
      <c r="F479" t="s">
        <v>1492</v>
      </c>
      <c r="H479" s="517">
        <v>3</v>
      </c>
      <c r="I479" s="359">
        <v>7.4654415946347603</v>
      </c>
      <c r="J479" s="461">
        <v>7.5960571897058102</v>
      </c>
      <c r="K479" s="85">
        <v>7.7701137525541597</v>
      </c>
      <c r="L479" s="2302">
        <v>6.2910936349112498</v>
      </c>
      <c r="M479" s="1442">
        <v>6.47712170947191</v>
      </c>
      <c r="N479" s="1317">
        <v>6.3304752843597099</v>
      </c>
      <c r="O479" s="1316">
        <v>7.3073321194229202</v>
      </c>
      <c r="P479" s="973">
        <v>7.43771505679869</v>
      </c>
      <c r="Q479" s="1974">
        <v>7.5376072629950599</v>
      </c>
      <c r="R479" s="538">
        <v>6.7436600968175799</v>
      </c>
      <c r="S479" s="1272">
        <v>6.8097171307663604</v>
      </c>
      <c r="T479" s="907">
        <v>6.8675514565938203</v>
      </c>
    </row>
    <row r="480" spans="1:20">
      <c r="A480" t="s">
        <v>1493</v>
      </c>
      <c r="B480" s="6" t="str">
        <f>HYPERLINK("http://www.ncbi.nlm.nih.gov/gene/18791", "18791")</f>
        <v>18791</v>
      </c>
      <c r="C480" s="6" t="str">
        <f>HYPERLINK("http://www.ncbi.nlm.nih.gov/gene/5327", "5327")</f>
        <v>5327</v>
      </c>
      <c r="D480" t="str">
        <f>"Plat"</f>
        <v>Plat</v>
      </c>
      <c r="E480" t="s">
        <v>1494</v>
      </c>
      <c r="F480" t="s">
        <v>1486</v>
      </c>
      <c r="G480" t="s">
        <v>1487</v>
      </c>
      <c r="H480" s="517">
        <v>3</v>
      </c>
      <c r="I480" s="355">
        <v>8.1885764061202408</v>
      </c>
      <c r="J480" s="296">
        <v>8.3010116548470503</v>
      </c>
      <c r="K480" s="470">
        <v>8.2865885488824507</v>
      </c>
      <c r="L480" s="1939">
        <v>6.8345303413708498</v>
      </c>
      <c r="M480" s="863">
        <v>6.7965809961421</v>
      </c>
      <c r="N480" s="2303">
        <v>6.4914605123406401</v>
      </c>
      <c r="O480" s="1418">
        <v>8.0099595203412601</v>
      </c>
      <c r="P480" s="844">
        <v>8.0070087047533498</v>
      </c>
      <c r="Q480" s="2304">
        <v>7.8212561817727897</v>
      </c>
      <c r="R480" s="592">
        <v>7.2371548994780497</v>
      </c>
      <c r="S480" s="1065">
        <v>7.3815002702739498</v>
      </c>
      <c r="T480" s="605">
        <v>7.2803019765016597</v>
      </c>
    </row>
    <row r="481" spans="1:20">
      <c r="A481" t="s">
        <v>1488</v>
      </c>
      <c r="B481" s="6" t="str">
        <f>HYPERLINK("http://www.ncbi.nlm.nih.gov/gene/12843", "12843")</f>
        <v>12843</v>
      </c>
      <c r="C481" s="6" t="str">
        <f>HYPERLINK("http://www.ncbi.nlm.nih.gov/gene/1278", "1278")</f>
        <v>1278</v>
      </c>
      <c r="D481" t="str">
        <f>"Col1a2"</f>
        <v>Col1a2</v>
      </c>
      <c r="E481" t="s">
        <v>1489</v>
      </c>
      <c r="F481" t="s">
        <v>1464</v>
      </c>
      <c r="G481" t="s">
        <v>1498</v>
      </c>
      <c r="H481" s="517">
        <v>3</v>
      </c>
      <c r="I481" s="448">
        <v>8.6343901497403994</v>
      </c>
      <c r="J481" s="448">
        <v>8.6343901497403994</v>
      </c>
      <c r="K481" s="379">
        <v>8.6817130051654896</v>
      </c>
      <c r="L481" s="1948">
        <v>6.6197823422740498</v>
      </c>
      <c r="M481" s="1138">
        <v>6.4798837597928696</v>
      </c>
      <c r="N481" s="1651">
        <v>6.10676184672195</v>
      </c>
      <c r="O481" s="903">
        <v>8.5491050078324804</v>
      </c>
      <c r="P481" s="888">
        <v>8.5070996029017198</v>
      </c>
      <c r="Q481" s="2305">
        <v>8.5802272790204199</v>
      </c>
      <c r="R481" s="599">
        <v>7.2815003576396498</v>
      </c>
      <c r="S481" s="1291">
        <v>7.4087222224315203</v>
      </c>
      <c r="T481" s="611">
        <v>7.2067633961748401</v>
      </c>
    </row>
    <row r="482" spans="1:20">
      <c r="A482" t="s">
        <v>1499</v>
      </c>
      <c r="B482" s="6" t="str">
        <f>HYPERLINK("http://www.ncbi.nlm.nih.gov/gene/66395", "66395")</f>
        <v>66395</v>
      </c>
      <c r="C482" s="6" t="str">
        <f>HYPERLINK("http://www.ncbi.nlm.nih.gov/gene/79026", "79026")</f>
        <v>79026</v>
      </c>
      <c r="D482" t="str">
        <f>"Ahnak"</f>
        <v>Ahnak</v>
      </c>
      <c r="E482" t="s">
        <v>1500</v>
      </c>
      <c r="F482" t="s">
        <v>1480</v>
      </c>
      <c r="H482" s="517">
        <v>3</v>
      </c>
      <c r="I482" s="183">
        <v>7.4575386651562496</v>
      </c>
      <c r="J482" s="461">
        <v>7.34560665724287</v>
      </c>
      <c r="K482" s="297">
        <v>7.4354391922801701</v>
      </c>
      <c r="L482" s="1925">
        <v>5.6347358758794996</v>
      </c>
      <c r="M482" s="1025">
        <v>5.5888487882618003</v>
      </c>
      <c r="N482" s="1729">
        <v>5.3483953121643397</v>
      </c>
      <c r="O482" s="1419">
        <v>6.9784218402817304</v>
      </c>
      <c r="P482" s="875">
        <v>6.9126061167529604</v>
      </c>
      <c r="Q482" s="2010">
        <v>7.2309635725341597</v>
      </c>
      <c r="R482" s="1272">
        <v>6.2017122868755701</v>
      </c>
      <c r="S482" s="687">
        <v>6.3144432463459799</v>
      </c>
      <c r="T482" s="1359">
        <v>6.2042084173236702</v>
      </c>
    </row>
    <row r="483" spans="1:20">
      <c r="A483" t="s">
        <v>1481</v>
      </c>
      <c r="B483" s="6" t="str">
        <f>HYPERLINK("http://www.ncbi.nlm.nih.gov/gene/260315", "260315")</f>
        <v>260315</v>
      </c>
      <c r="C483" s="6" t="str">
        <f>HYPERLINK("http://www.ncbi.nlm.nih.gov/gene/89795", "89795")</f>
        <v>89795</v>
      </c>
      <c r="D483" t="str">
        <f>"Nav3"</f>
        <v>Nav3</v>
      </c>
      <c r="E483" t="s">
        <v>1482</v>
      </c>
      <c r="F483" t="s">
        <v>1483</v>
      </c>
      <c r="H483" s="517">
        <v>3</v>
      </c>
      <c r="I483" s="254">
        <v>5.8105838142342803</v>
      </c>
      <c r="J483" s="276">
        <v>5.3596086517195403</v>
      </c>
      <c r="K483" s="213">
        <v>5.8294223139910004</v>
      </c>
      <c r="L483" s="2306">
        <v>4.3045960442005304</v>
      </c>
      <c r="M483" s="992">
        <v>4.6122970722248899</v>
      </c>
      <c r="N483" s="1317">
        <v>4.3291944865783796</v>
      </c>
      <c r="O483" s="1420">
        <v>5.3365707096011903</v>
      </c>
      <c r="P483" s="938">
        <v>5.5780856199636499</v>
      </c>
      <c r="Q483" s="2307">
        <v>5.5464971637074303</v>
      </c>
      <c r="R483" s="1326">
        <v>4.9762051961739102</v>
      </c>
      <c r="S483" s="891">
        <v>4.7436103803078096</v>
      </c>
      <c r="T483" s="1421">
        <v>4.6218122986218804</v>
      </c>
    </row>
    <row r="484" spans="1:20">
      <c r="A484" t="s">
        <v>1484</v>
      </c>
      <c r="B484" s="6" t="str">
        <f>HYPERLINK("http://www.ncbi.nlm.nih.gov/gene/19228", "19228")</f>
        <v>19228</v>
      </c>
      <c r="C484" s="6" t="str">
        <f>HYPERLINK("http://www.ncbi.nlm.nih.gov/gene/5745", "5745")</f>
        <v>5745</v>
      </c>
      <c r="D484" t="str">
        <f>"Pth1r"</f>
        <v>Pth1r</v>
      </c>
      <c r="E484" t="s">
        <v>1485</v>
      </c>
      <c r="F484" t="s">
        <v>1495</v>
      </c>
      <c r="G484" t="s">
        <v>106</v>
      </c>
      <c r="H484" s="517">
        <v>3</v>
      </c>
      <c r="I484" s="355">
        <v>6.4707958148771398</v>
      </c>
      <c r="J484" s="393">
        <v>6.2227979640528401</v>
      </c>
      <c r="K484" s="420">
        <v>6.3917096605657404</v>
      </c>
      <c r="L484" s="1901">
        <v>5.1046416998169297</v>
      </c>
      <c r="M484" s="1181">
        <v>5.3479602687319403</v>
      </c>
      <c r="N484" s="1807">
        <v>4.7357388789155603</v>
      </c>
      <c r="O484" s="1422">
        <v>6.4182434431680102</v>
      </c>
      <c r="P484" s="618">
        <v>6.5118285494353501</v>
      </c>
      <c r="Q484" s="2005">
        <v>6.4098559455570401</v>
      </c>
      <c r="R484" s="715">
        <v>5.4401989975971103</v>
      </c>
      <c r="S484" s="891">
        <v>5.4449876042452496</v>
      </c>
      <c r="T484" s="834">
        <v>5.5242873016012002</v>
      </c>
    </row>
    <row r="485" spans="1:20">
      <c r="A485" t="s">
        <v>1496</v>
      </c>
      <c r="B485" s="6" t="str">
        <f>HYPERLINK("http://www.ncbi.nlm.nih.gov/gene/23871", "23871")</f>
        <v>23871</v>
      </c>
      <c r="C485" s="6" t="str">
        <f>HYPERLINK("http://www.ncbi.nlm.nih.gov/gene/2113", "2113")</f>
        <v>2113</v>
      </c>
      <c r="D485" t="str">
        <f>"Ets1"</f>
        <v>Ets1</v>
      </c>
      <c r="E485" t="s">
        <v>1497</v>
      </c>
      <c r="F485" t="s">
        <v>1501</v>
      </c>
      <c r="G485" t="s">
        <v>1502</v>
      </c>
      <c r="H485" s="517">
        <v>3</v>
      </c>
      <c r="I485" s="371">
        <v>7.04485816252528</v>
      </c>
      <c r="J485" s="222">
        <v>7.1416053890787197</v>
      </c>
      <c r="K485" s="174">
        <v>7.0186721564939898</v>
      </c>
      <c r="L485" s="2119">
        <v>5.7597989610098903</v>
      </c>
      <c r="M485" s="1289">
        <v>5.9120004536103998</v>
      </c>
      <c r="N485" s="727">
        <v>5.7496490580892203</v>
      </c>
      <c r="O485" s="1312">
        <v>6.6099994265886703</v>
      </c>
      <c r="P485" s="766">
        <v>6.5911730015341101</v>
      </c>
      <c r="Q485" s="2285">
        <v>6.4999506237649003</v>
      </c>
      <c r="R485" s="659">
        <v>6.1357147882533702</v>
      </c>
      <c r="S485" s="604">
        <v>6.18310227769331</v>
      </c>
      <c r="T485" s="1397">
        <v>6.0946199924306903</v>
      </c>
    </row>
    <row r="486" spans="1:20">
      <c r="A486" t="s">
        <v>1503</v>
      </c>
      <c r="B486" s="6" t="str">
        <f>HYPERLINK("http://www.ncbi.nlm.nih.gov/gene/16949", "16949")</f>
        <v>16949</v>
      </c>
      <c r="C486" s="6" t="str">
        <f>HYPERLINK("http://www.ncbi.nlm.nih.gov/gene/4016", "4016")</f>
        <v>4016</v>
      </c>
      <c r="D486" t="str">
        <f>"Loxl1"</f>
        <v>Loxl1</v>
      </c>
      <c r="E486" t="s">
        <v>1504</v>
      </c>
      <c r="F486" t="s">
        <v>1505</v>
      </c>
      <c r="H486" s="517">
        <v>3</v>
      </c>
      <c r="I486" s="222">
        <v>7.3993759109513402</v>
      </c>
      <c r="J486" s="85">
        <v>7.2848901262399002</v>
      </c>
      <c r="K486" s="483">
        <v>7.2687458413872497</v>
      </c>
      <c r="L486" s="2119">
        <v>5.1443834472050103</v>
      </c>
      <c r="M486" s="555">
        <v>5.4558271858793397</v>
      </c>
      <c r="N486" s="1594">
        <v>5.0608677914053199</v>
      </c>
      <c r="O486" s="1258">
        <v>6.3311040226406599</v>
      </c>
      <c r="P486" s="950">
        <v>6.4329205395535798</v>
      </c>
      <c r="Q486" s="2096">
        <v>6.3322450443701097</v>
      </c>
      <c r="R486" s="680">
        <v>5.8784916070631601</v>
      </c>
      <c r="S486" s="627">
        <v>5.8851595038885796</v>
      </c>
      <c r="T486" s="1423">
        <v>5.7097752853508599</v>
      </c>
    </row>
    <row r="487" spans="1:20">
      <c r="A487" t="s">
        <v>1506</v>
      </c>
      <c r="B487" s="6" t="str">
        <f>HYPERLINK("http://www.ncbi.nlm.nih.gov/gene/21417", "21417")</f>
        <v>21417</v>
      </c>
      <c r="C487" s="6" t="str">
        <f>HYPERLINK("http://www.ncbi.nlm.nih.gov/gene/6935", "6935")</f>
        <v>6935</v>
      </c>
      <c r="D487" t="str">
        <f>"Zeb1"</f>
        <v>Zeb1</v>
      </c>
      <c r="E487" t="s">
        <v>1507</v>
      </c>
      <c r="F487" t="s">
        <v>1508</v>
      </c>
      <c r="H487" s="517">
        <v>3</v>
      </c>
      <c r="I487" s="313">
        <v>8.2436023483425505</v>
      </c>
      <c r="J487" s="234">
        <v>8.3347216944417699</v>
      </c>
      <c r="K487" s="77">
        <v>8.2633408039695606</v>
      </c>
      <c r="L487" s="1948">
        <v>7.1991620599984003</v>
      </c>
      <c r="M487" s="1448">
        <v>7.1820054948673198</v>
      </c>
      <c r="N487" s="1556">
        <v>7.1370363522459197</v>
      </c>
      <c r="O487" s="1099">
        <v>7.7311873037135399</v>
      </c>
      <c r="P487" s="766">
        <v>7.86173853807803</v>
      </c>
      <c r="Q487" s="2224">
        <v>7.8872400524711397</v>
      </c>
      <c r="R487" s="699">
        <v>7.5412935363128</v>
      </c>
      <c r="S487" s="1223">
        <v>7.3905529925381499</v>
      </c>
      <c r="T487" s="1424">
        <v>7.4886014201870301</v>
      </c>
    </row>
    <row r="488" spans="1:20">
      <c r="A488" t="s">
        <v>1509</v>
      </c>
      <c r="B488" s="6" t="str">
        <f>HYPERLINK("http://www.ncbi.nlm.nih.gov/gene/74646", "74646")</f>
        <v>74646</v>
      </c>
      <c r="C488" s="6" t="str">
        <f>HYPERLINK("http://www.ncbi.nlm.nih.gov/gene/80176", "80176")</f>
        <v>80176</v>
      </c>
      <c r="D488" t="str">
        <f>"Spsb1"</f>
        <v>Spsb1</v>
      </c>
      <c r="E488" t="s">
        <v>1510</v>
      </c>
      <c r="F488" t="s">
        <v>1511</v>
      </c>
      <c r="H488" s="517">
        <v>3</v>
      </c>
      <c r="I488" s="66">
        <v>7.29799312544794</v>
      </c>
      <c r="J488" s="174">
        <v>7.0008839918847503</v>
      </c>
      <c r="K488" s="362">
        <v>6.7466408020840403</v>
      </c>
      <c r="L488" s="1952">
        <v>5.9995277629721198</v>
      </c>
      <c r="M488" s="992">
        <v>5.9382737761829096</v>
      </c>
      <c r="N488" s="1653">
        <v>5.6614637451507903</v>
      </c>
      <c r="O488" s="1425">
        <v>6.5556433690834899</v>
      </c>
      <c r="P488" s="758">
        <v>6.6133865243168604</v>
      </c>
      <c r="Q488" s="2308">
        <v>6.5909170714362499</v>
      </c>
      <c r="R488" s="1006">
        <v>6.15715086029285</v>
      </c>
      <c r="S488" s="1109">
        <v>5.95323453107014</v>
      </c>
      <c r="T488" s="1376">
        <v>5.8787998891262001</v>
      </c>
    </row>
    <row r="489" spans="1:20">
      <c r="A489" t="s">
        <v>1512</v>
      </c>
      <c r="B489" s="6" t="str">
        <f>HYPERLINK("http://www.ncbi.nlm.nih.gov/gene/235130", "235130")</f>
        <v>235130</v>
      </c>
      <c r="C489" s="6" t="str">
        <f>HYPERLINK("http://www.ncbi.nlm.nih.gov/gene/170689", "170689")</f>
        <v>170689</v>
      </c>
      <c r="D489" t="str">
        <f>"Adamts15"</f>
        <v>Adamts15</v>
      </c>
      <c r="E489" t="s">
        <v>1513</v>
      </c>
      <c r="F489" t="s">
        <v>1514</v>
      </c>
      <c r="H489" s="517">
        <v>3</v>
      </c>
      <c r="I489" s="241">
        <v>5.81344761636106</v>
      </c>
      <c r="J489" s="457">
        <v>5.8341975880886698</v>
      </c>
      <c r="K489" s="454">
        <v>5.6755748286369698</v>
      </c>
      <c r="L489" s="1860">
        <v>4.4480129797460597</v>
      </c>
      <c r="M489" s="1021">
        <v>4.28711453291438</v>
      </c>
      <c r="N489" s="1138">
        <v>4.3134358412604898</v>
      </c>
      <c r="O489" s="1426">
        <v>5.6340484225470897</v>
      </c>
      <c r="P489" s="942">
        <v>5.1379758972837397</v>
      </c>
      <c r="Q489" s="2030">
        <v>5.5012560520665001</v>
      </c>
      <c r="R489" s="705">
        <v>4.9652119213370396</v>
      </c>
      <c r="S489" s="622">
        <v>4.7140083211225097</v>
      </c>
      <c r="T489" s="1295">
        <v>4.5923039724277999</v>
      </c>
    </row>
    <row r="490" spans="1:20">
      <c r="A490" t="s">
        <v>1515</v>
      </c>
      <c r="B490" s="6" t="str">
        <f>HYPERLINK("http://www.ncbi.nlm.nih.gov/gene/22761", "22761")</f>
        <v>22761</v>
      </c>
      <c r="C490" s="6" t="str">
        <f>HYPERLINK("http://www.ncbi.nlm.nih.gov/gene/161882", "161882")</f>
        <v>161882</v>
      </c>
      <c r="D490" t="str">
        <f>"Zfpm1"</f>
        <v>Zfpm1</v>
      </c>
      <c r="E490" t="s">
        <v>1516</v>
      </c>
      <c r="F490" t="s">
        <v>1517</v>
      </c>
      <c r="H490" s="517">
        <v>3</v>
      </c>
      <c r="I490" s="184">
        <v>7.2413716136052502</v>
      </c>
      <c r="J490" s="85">
        <v>7.1928777276001901</v>
      </c>
      <c r="K490" s="86">
        <v>7.0904786298140197</v>
      </c>
      <c r="L490" s="1937">
        <v>5.5068103669291597</v>
      </c>
      <c r="M490" s="1323">
        <v>5.3718470200722903</v>
      </c>
      <c r="N490" s="1327">
        <v>5.3166174579397403</v>
      </c>
      <c r="O490" s="1416">
        <v>6.6619179580598598</v>
      </c>
      <c r="P490" s="1243">
        <v>6.3289962556830401</v>
      </c>
      <c r="Q490" s="2309">
        <v>6.4797306286966103</v>
      </c>
      <c r="R490" s="544">
        <v>5.7056962304599104</v>
      </c>
      <c r="S490" s="544">
        <v>5.7047570595298698</v>
      </c>
      <c r="T490" s="568">
        <v>5.7157484190302696</v>
      </c>
    </row>
    <row r="491" spans="1:20">
      <c r="A491" t="s">
        <v>1518</v>
      </c>
      <c r="B491" s="6" t="str">
        <f>HYPERLINK("http://www.ncbi.nlm.nih.gov/gene/21803", "21803")</f>
        <v>21803</v>
      </c>
      <c r="C491" s="6" t="str">
        <f>HYPERLINK("http://www.ncbi.nlm.nih.gov/gene/7040", "7040")</f>
        <v>7040</v>
      </c>
      <c r="D491" t="str">
        <f>"Tgfb1"</f>
        <v>Tgfb1</v>
      </c>
      <c r="E491" t="s">
        <v>1519</v>
      </c>
      <c r="F491" t="s">
        <v>1520</v>
      </c>
      <c r="G491" t="s">
        <v>1521</v>
      </c>
      <c r="H491" s="517">
        <v>3</v>
      </c>
      <c r="I491" s="313">
        <v>7.1940108810155596</v>
      </c>
      <c r="J491" s="145">
        <v>7.1286100229110101</v>
      </c>
      <c r="K491" s="29">
        <v>7.0553216463012296</v>
      </c>
      <c r="L491" s="1948">
        <v>5.7713541525568104</v>
      </c>
      <c r="M491" s="1289">
        <v>5.85788424628422</v>
      </c>
      <c r="N491" s="1593">
        <v>5.5490374345665003</v>
      </c>
      <c r="O491" s="1427">
        <v>6.9955383245120304</v>
      </c>
      <c r="P491" s="956">
        <v>6.7603275076843303</v>
      </c>
      <c r="Q491" s="1997">
        <v>6.66230858546525</v>
      </c>
      <c r="R491" s="600">
        <v>6.2044670547273997</v>
      </c>
      <c r="S491" s="992">
        <v>5.93705808038768</v>
      </c>
      <c r="T491" s="660">
        <v>6.1432717790751497</v>
      </c>
    </row>
    <row r="492" spans="1:20">
      <c r="A492" t="s">
        <v>1522</v>
      </c>
      <c r="B492" s="6" t="str">
        <f>HYPERLINK("http://www.ncbi.nlm.nih.gov/gene/12258", "12258")</f>
        <v>12258</v>
      </c>
      <c r="C492" s="6" t="str">
        <f>HYPERLINK("http://www.ncbi.nlm.nih.gov/gene/710", "710")</f>
        <v>710</v>
      </c>
      <c r="D492" t="str">
        <f>"Serping1"</f>
        <v>Serping1</v>
      </c>
      <c r="E492" t="s">
        <v>1523</v>
      </c>
      <c r="F492" t="s">
        <v>1524</v>
      </c>
      <c r="G492" t="s">
        <v>1487</v>
      </c>
      <c r="H492" s="517">
        <v>3</v>
      </c>
      <c r="I492" s="103">
        <v>5.4980515288537504</v>
      </c>
      <c r="J492" s="398">
        <v>5.1477907401524901</v>
      </c>
      <c r="K492" s="86">
        <v>5.3753465039243098</v>
      </c>
      <c r="L492" s="1943">
        <v>3.5320662627673198</v>
      </c>
      <c r="M492" s="1646">
        <v>3.4445693173716401</v>
      </c>
      <c r="N492" s="1445">
        <v>3.2855283393127301</v>
      </c>
      <c r="O492" s="922">
        <v>4.8537555933968699</v>
      </c>
      <c r="P492" s="758">
        <v>4.7901730473008701</v>
      </c>
      <c r="Q492" s="2018">
        <v>4.8936724608919704</v>
      </c>
      <c r="R492" s="997">
        <v>3.7296328421904601</v>
      </c>
      <c r="S492" s="738">
        <v>4.1552732061900901</v>
      </c>
      <c r="T492" s="907">
        <v>4.1357254347600296</v>
      </c>
    </row>
    <row r="493" spans="1:20">
      <c r="A493" t="s">
        <v>1525</v>
      </c>
      <c r="B493" s="6" t="str">
        <f>HYPERLINK("http://www.ncbi.nlm.nih.gov/gene/74782", "74782")</f>
        <v>74782</v>
      </c>
      <c r="C493" s="6" t="str">
        <f>HYPERLINK("http://www.ncbi.nlm.nih.gov/gene/83468", "83468")</f>
        <v>83468</v>
      </c>
      <c r="D493" t="str">
        <f>"Glt8d2"</f>
        <v>Glt8d2</v>
      </c>
      <c r="E493" t="s">
        <v>1526</v>
      </c>
      <c r="F493" t="s">
        <v>1527</v>
      </c>
      <c r="H493" s="517">
        <v>3</v>
      </c>
      <c r="I493" s="316">
        <v>5.9566947056071902</v>
      </c>
      <c r="J493" s="395">
        <v>5.5749072751442901</v>
      </c>
      <c r="K493" s="484">
        <v>5.7092152515315302</v>
      </c>
      <c r="L493" s="1939">
        <v>4.2230154777041804</v>
      </c>
      <c r="M493" s="722">
        <v>4.2379998112082697</v>
      </c>
      <c r="N493" s="1688">
        <v>3.8983856411108402</v>
      </c>
      <c r="O493" s="1428">
        <v>5.5806695370010404</v>
      </c>
      <c r="P493" s="805">
        <v>5.0991872319044997</v>
      </c>
      <c r="Q493" s="2300">
        <v>5.4521629923997699</v>
      </c>
      <c r="R493" s="872">
        <v>4.42443631040193</v>
      </c>
      <c r="S493" s="1122">
        <v>5.0301490497779797</v>
      </c>
      <c r="T493" s="681">
        <v>4.7442453642921896</v>
      </c>
    </row>
    <row r="494" spans="1:20">
      <c r="A494" t="s">
        <v>1528</v>
      </c>
      <c r="B494" s="6" t="str">
        <f>HYPERLINK("http://www.ncbi.nlm.nih.gov/gene/65255", "65255")</f>
        <v>65255</v>
      </c>
      <c r="C494" s="6" t="str">
        <f>HYPERLINK("http://www.ncbi.nlm.nih.gov/gene/51666", "51666")</f>
        <v>51666</v>
      </c>
      <c r="D494" t="str">
        <f>"Asb4"</f>
        <v>Asb4</v>
      </c>
      <c r="E494" t="s">
        <v>1529</v>
      </c>
      <c r="F494" t="s">
        <v>1530</v>
      </c>
      <c r="H494" s="517">
        <v>3</v>
      </c>
      <c r="I494" s="346">
        <v>5.2929203572764596</v>
      </c>
      <c r="J494" s="394">
        <v>5.2741170614494202</v>
      </c>
      <c r="K494" s="78">
        <v>5.42754510140312</v>
      </c>
      <c r="L494" s="2310">
        <v>2.0692287605134698</v>
      </c>
      <c r="M494" s="1191">
        <v>2.5669256510434701</v>
      </c>
      <c r="N494" s="1572">
        <v>1.9918126189026699</v>
      </c>
      <c r="O494" s="1418">
        <v>4.7620300818549604</v>
      </c>
      <c r="P494" s="1250">
        <v>4.5427085273565</v>
      </c>
      <c r="Q494" s="1839">
        <v>4.8744481074298696</v>
      </c>
      <c r="R494" s="1308">
        <v>2.3618477322054101</v>
      </c>
      <c r="S494" s="906">
        <v>3.3851892028510502</v>
      </c>
      <c r="T494" s="1328">
        <v>2.63380393722016</v>
      </c>
    </row>
    <row r="495" spans="1:20">
      <c r="A495" t="s">
        <v>1531</v>
      </c>
      <c r="B495" s="6" t="str">
        <f>HYPERLINK("http://www.ncbi.nlm.nih.gov/gene/18214", "18214")</f>
        <v>18214</v>
      </c>
      <c r="C495" s="6" t="str">
        <f>HYPERLINK("http://www.ncbi.nlm.nih.gov/gene/4921", "4921")</f>
        <v>4921</v>
      </c>
      <c r="D495" t="str">
        <f>"Ddr2"</f>
        <v>Ddr2</v>
      </c>
      <c r="E495" t="s">
        <v>1532</v>
      </c>
      <c r="F495" t="s">
        <v>1533</v>
      </c>
      <c r="H495" s="517">
        <v>3</v>
      </c>
      <c r="I495" s="145">
        <v>9.0409935639776595</v>
      </c>
      <c r="J495" s="29">
        <v>8.9284051637241202</v>
      </c>
      <c r="K495" s="241">
        <v>9.0989476384317705</v>
      </c>
      <c r="L495" s="1943">
        <v>6.9902467651859901</v>
      </c>
      <c r="M495" s="1302">
        <v>7.1353274709565397</v>
      </c>
      <c r="N495" s="1025">
        <v>6.8708024899311697</v>
      </c>
      <c r="O495" s="925">
        <v>8.7208548734235691</v>
      </c>
      <c r="P495" s="1429">
        <v>8.5610526494992403</v>
      </c>
      <c r="Q495" s="1962">
        <v>8.6404651954296003</v>
      </c>
      <c r="R495" s="997">
        <v>7.2251261602361501</v>
      </c>
      <c r="S495" s="592">
        <v>7.5471922051279403</v>
      </c>
      <c r="T495" s="684">
        <v>7.2055390355631097</v>
      </c>
    </row>
    <row r="496" spans="1:20">
      <c r="A496" t="s">
        <v>1534</v>
      </c>
      <c r="B496" s="6" t="str">
        <f>HYPERLINK("http://www.ncbi.nlm.nih.gov/gene/56312", "56312")</f>
        <v>56312</v>
      </c>
      <c r="C496" s="6" t="str">
        <f>HYPERLINK("http://www.ncbi.nlm.nih.gov/gene/26471", "26471")</f>
        <v>26471</v>
      </c>
      <c r="D496" t="str">
        <f>"Nupr1"</f>
        <v>Nupr1</v>
      </c>
      <c r="E496" t="s">
        <v>1535</v>
      </c>
      <c r="F496" t="s">
        <v>1536</v>
      </c>
      <c r="H496" s="517">
        <v>3</v>
      </c>
      <c r="I496" s="420">
        <v>6.0428689602626804</v>
      </c>
      <c r="J496" s="268">
        <v>6.2740831871211098</v>
      </c>
      <c r="K496" s="496">
        <v>6.2087986377599798</v>
      </c>
      <c r="L496" s="2195">
        <v>4.59534422829595</v>
      </c>
      <c r="M496" s="1340">
        <v>4.5360272000050399</v>
      </c>
      <c r="N496" s="1730">
        <v>3.8390741336183898</v>
      </c>
      <c r="O496" s="754">
        <v>6.2857080941166004</v>
      </c>
      <c r="P496" s="899">
        <v>5.7775033742654296</v>
      </c>
      <c r="Q496" s="2311">
        <v>5.7467801148386899</v>
      </c>
      <c r="R496" s="1302">
        <v>4.4707560497159804</v>
      </c>
      <c r="S496" s="549">
        <v>4.8867218282201801</v>
      </c>
      <c r="T496" s="1431">
        <v>4.8012387693860497</v>
      </c>
    </row>
    <row r="497" spans="1:20">
      <c r="A497" t="s">
        <v>1537</v>
      </c>
      <c r="B497" s="6" t="str">
        <f>HYPERLINK("http://www.ncbi.nlm.nih.gov/gene/13627", "13627")</f>
        <v>13627</v>
      </c>
      <c r="C497" s="6" t="str">
        <f>HYPERLINK("http://www.ncbi.nlm.nih.gov/gene/1915", "1915")</f>
        <v>1915</v>
      </c>
      <c r="D497" t="str">
        <f>"Eef1a1"</f>
        <v>Eef1a1</v>
      </c>
      <c r="E497" t="s">
        <v>1538</v>
      </c>
      <c r="F497" t="s">
        <v>1539</v>
      </c>
      <c r="G497" t="s">
        <v>1540</v>
      </c>
      <c r="H497" s="517">
        <v>3</v>
      </c>
      <c r="I497" s="369">
        <v>4.90676658046113</v>
      </c>
      <c r="J497" s="401">
        <v>4.59534422829595</v>
      </c>
      <c r="K497" s="93">
        <v>5.3810519073452898</v>
      </c>
      <c r="L497" s="2227">
        <v>3.6863373048394501</v>
      </c>
      <c r="M497" s="889">
        <v>4.4966758311070096</v>
      </c>
      <c r="N497" s="1663">
        <v>3.3162122635791502</v>
      </c>
      <c r="O497" s="1432">
        <v>4.8665773523964004</v>
      </c>
      <c r="P497" s="920">
        <v>4.4741807045437199</v>
      </c>
      <c r="Q497" s="2222">
        <v>4.2859245210190799</v>
      </c>
      <c r="R497" s="1174">
        <v>3.8270828035877602</v>
      </c>
      <c r="S497" s="887">
        <v>4.6041728967220701</v>
      </c>
      <c r="T497" s="1391">
        <v>4.3697202813988998</v>
      </c>
    </row>
    <row r="498" spans="1:20">
      <c r="A498" t="s">
        <v>1541</v>
      </c>
      <c r="B498" s="6" t="str">
        <f>HYPERLINK("http://www.ncbi.nlm.nih.gov/gene/18143", "18143")</f>
        <v>18143</v>
      </c>
      <c r="C498" s="6" t="str">
        <f>HYPERLINK("http://www.ncbi.nlm.nih.gov/gene/4862", "4862")</f>
        <v>4862</v>
      </c>
      <c r="D498" t="str">
        <f>"Npas2"</f>
        <v>Npas2</v>
      </c>
      <c r="E498" t="s">
        <v>1542</v>
      </c>
      <c r="F498" t="s">
        <v>1543</v>
      </c>
      <c r="G498" t="s">
        <v>1544</v>
      </c>
      <c r="H498" s="517">
        <v>3</v>
      </c>
      <c r="I498" s="22">
        <v>5.0600629377901001</v>
      </c>
      <c r="J498" s="67">
        <v>4.5011948061027196</v>
      </c>
      <c r="K498" s="358">
        <v>4.5237385821765104</v>
      </c>
      <c r="L498" s="1885">
        <v>3.5449155651296902</v>
      </c>
      <c r="M498" s="594">
        <v>3.76849448715955</v>
      </c>
      <c r="N498" s="1367">
        <v>3.6647234998817999</v>
      </c>
      <c r="O498" s="1204">
        <v>3.8595407896973901</v>
      </c>
      <c r="P498" s="992">
        <v>3.5978519523624399</v>
      </c>
      <c r="Q498" s="2312">
        <v>3.4825997077780002</v>
      </c>
      <c r="R498" s="528">
        <v>3.96564529312269</v>
      </c>
      <c r="S498" s="720">
        <v>4.0178104602738998</v>
      </c>
      <c r="T498" s="1391">
        <v>3.9708038080754</v>
      </c>
    </row>
    <row r="499" spans="1:20">
      <c r="A499" t="s">
        <v>1545</v>
      </c>
      <c r="B499" s="6" t="str">
        <f>HYPERLINK("http://www.ncbi.nlm.nih.gov/gene/14170", "14170")</f>
        <v>14170</v>
      </c>
      <c r="C499" s="6" t="str">
        <f>HYPERLINK("http://www.ncbi.nlm.nih.gov/gene/9965", "9965")</f>
        <v>9965</v>
      </c>
      <c r="D499" t="str">
        <f>"Fgf15"</f>
        <v>Fgf15</v>
      </c>
      <c r="E499" t="s">
        <v>1546</v>
      </c>
      <c r="F499" t="s">
        <v>1547</v>
      </c>
      <c r="G499" t="s">
        <v>521</v>
      </c>
      <c r="H499" s="517">
        <v>3</v>
      </c>
      <c r="I499" s="159">
        <v>5.6188472573329902</v>
      </c>
      <c r="J499" s="78">
        <v>5.2353789470547198</v>
      </c>
      <c r="K499" s="166">
        <v>5.3782457338268799</v>
      </c>
      <c r="L499" s="2063">
        <v>4.20923843322685</v>
      </c>
      <c r="M499" s="629">
        <v>4.3755523566439498</v>
      </c>
      <c r="N499" s="549">
        <v>4.2796019120253304</v>
      </c>
      <c r="O499" s="1056">
        <v>4.2944685740847897</v>
      </c>
      <c r="P499" s="680">
        <v>4.3316153236447397</v>
      </c>
      <c r="Q499" s="2313">
        <v>3.60864140722737</v>
      </c>
      <c r="R499" s="1215">
        <v>4.4294761708751302</v>
      </c>
      <c r="S499" s="609">
        <v>4.2944685740847897</v>
      </c>
      <c r="T499" s="1434">
        <v>4.48199742906528</v>
      </c>
    </row>
    <row r="500" spans="1:20">
      <c r="A500" t="s">
        <v>1548</v>
      </c>
      <c r="B500" s="6" t="str">
        <f>HYPERLINK("http://www.ncbi.nlm.nih.gov/gene/13601", "13601")</f>
        <v>13601</v>
      </c>
      <c r="C500" s="6" t="str">
        <f>HYPERLINK("http://www.ncbi.nlm.nih.gov/gene/1893", "1893")</f>
        <v>1893</v>
      </c>
      <c r="D500" t="str">
        <f>"Ecm1"</f>
        <v>Ecm1</v>
      </c>
      <c r="E500" t="s">
        <v>1549</v>
      </c>
      <c r="F500" t="s">
        <v>1550</v>
      </c>
      <c r="H500" s="517">
        <v>3</v>
      </c>
      <c r="I500" s="40">
        <v>7.7105097387662003</v>
      </c>
      <c r="J500" s="92">
        <v>7.5332939027905397</v>
      </c>
      <c r="K500" s="137">
        <v>7.5291501949249096</v>
      </c>
      <c r="L500" s="1848">
        <v>5.6036734000751496</v>
      </c>
      <c r="M500" s="579">
        <v>5.5883572911584096</v>
      </c>
      <c r="N500" s="1174">
        <v>5.1155529238207</v>
      </c>
      <c r="O500" s="1039">
        <v>5.5596643190927599</v>
      </c>
      <c r="P500" s="579">
        <v>5.5882812257718903</v>
      </c>
      <c r="Q500" s="2055">
        <v>5.3747859400472402</v>
      </c>
      <c r="R500" s="699">
        <v>5.7415903123340604</v>
      </c>
      <c r="S500" s="853">
        <v>5.8658180838397698</v>
      </c>
      <c r="T500" s="1354">
        <v>5.5534648653870704</v>
      </c>
    </row>
    <row r="501" spans="1:20">
      <c r="A501" t="s">
        <v>1551</v>
      </c>
      <c r="B501" s="6" t="str">
        <f>HYPERLINK("http://www.ncbi.nlm.nih.gov/gene/13479", "13479")</f>
        <v>13479</v>
      </c>
      <c r="C501" s="6" t="str">
        <f>HYPERLINK("http://www.ncbi.nlm.nih.gov/gene/1800", "1800")</f>
        <v>1800</v>
      </c>
      <c r="D501" t="str">
        <f>"Dpep1"</f>
        <v>Dpep1</v>
      </c>
      <c r="E501" t="s">
        <v>1552</v>
      </c>
      <c r="F501" t="s">
        <v>1553</v>
      </c>
      <c r="H501" s="517">
        <v>3</v>
      </c>
      <c r="I501" s="108">
        <v>5.9780861359600603</v>
      </c>
      <c r="J501" s="222">
        <v>5.9160011426737498</v>
      </c>
      <c r="K501" s="463">
        <v>6.1390560435544197</v>
      </c>
      <c r="L501" s="2201">
        <v>4.0380688908310498</v>
      </c>
      <c r="M501" s="1223">
        <v>4.0549483195509097</v>
      </c>
      <c r="N501" s="573">
        <v>4.04899639026622</v>
      </c>
      <c r="O501" s="1058">
        <v>4.1491850742341301</v>
      </c>
      <c r="P501" s="663">
        <v>4.0933374294703704</v>
      </c>
      <c r="Q501" s="2314">
        <v>3.9016759111383901</v>
      </c>
      <c r="R501" s="629">
        <v>4.3845538531147099</v>
      </c>
      <c r="S501" s="658">
        <v>4.5530862560677301</v>
      </c>
      <c r="T501" s="1435">
        <v>4.3784798057189196</v>
      </c>
    </row>
    <row r="502" spans="1:20">
      <c r="A502" t="s">
        <v>1554</v>
      </c>
      <c r="B502" s="6" t="str">
        <f>HYPERLINK("http://www.ncbi.nlm.nih.gov/gene/239606", "239606")</f>
        <v>239606</v>
      </c>
      <c r="C502" s="6" t="str">
        <f>HYPERLINK("http://www.ncbi.nlm.nih.gov/gene/114134", "114134")</f>
        <v>114134</v>
      </c>
      <c r="D502" t="str">
        <f>"Slc2a13"</f>
        <v>Slc2a13</v>
      </c>
      <c r="E502" t="s">
        <v>1555</v>
      </c>
      <c r="F502" t="s">
        <v>1556</v>
      </c>
      <c r="H502" s="517">
        <v>3</v>
      </c>
      <c r="I502" s="151">
        <v>6.4833036139168803</v>
      </c>
      <c r="J502" s="279">
        <v>6.1240836721370302</v>
      </c>
      <c r="K502" s="92">
        <v>6.2460338043391701</v>
      </c>
      <c r="L502" s="2092">
        <v>4.6049910355116701</v>
      </c>
      <c r="M502" s="1343">
        <v>4.7519462206338003</v>
      </c>
      <c r="N502" s="1081">
        <v>4.7092065801355503</v>
      </c>
      <c r="O502" s="1393">
        <v>4.6728016119362197</v>
      </c>
      <c r="P502" s="659">
        <v>4.7930792229145096</v>
      </c>
      <c r="Q502" s="2176">
        <v>4.6797488219999401</v>
      </c>
      <c r="R502" s="600">
        <v>4.8816644218626699</v>
      </c>
      <c r="S502" s="1254">
        <v>5.1390721367089203</v>
      </c>
      <c r="T502" s="1436">
        <v>4.8075153866691203</v>
      </c>
    </row>
    <row r="503" spans="1:20">
      <c r="A503" t="s">
        <v>1557</v>
      </c>
      <c r="B503" s="6" t="str">
        <f>HYPERLINK("http://www.ncbi.nlm.nih.gov/gene/214112", "214112")</f>
        <v>214112</v>
      </c>
      <c r="C503" s="6" t="str">
        <f>HYPERLINK("http://www.ncbi.nlm.nih.gov/gene/348938", "348938")</f>
        <v>348938</v>
      </c>
      <c r="D503" t="str">
        <f>"Nipal4"</f>
        <v>Nipal4</v>
      </c>
      <c r="E503" t="s">
        <v>1558</v>
      </c>
      <c r="F503" t="s">
        <v>1559</v>
      </c>
      <c r="H503" s="517">
        <v>3</v>
      </c>
      <c r="I503" s="179">
        <v>6.6342540939607302</v>
      </c>
      <c r="J503" s="196">
        <v>6.4221765897100802</v>
      </c>
      <c r="K503" s="184">
        <v>6.3448210170517498</v>
      </c>
      <c r="L503" s="2248">
        <v>4.71812526501947</v>
      </c>
      <c r="M503" s="549">
        <v>4.7002582956791601</v>
      </c>
      <c r="N503" s="566">
        <v>4.4449835002607898</v>
      </c>
      <c r="O503" s="1048">
        <v>4.4165169618115296</v>
      </c>
      <c r="P503" s="1306">
        <v>4.1909287642814403</v>
      </c>
      <c r="Q503" s="2315">
        <v>4.4621359688031204</v>
      </c>
      <c r="R503" s="676">
        <v>4.8166586187674403</v>
      </c>
      <c r="S503" s="798">
        <v>5.13345458964291</v>
      </c>
      <c r="T503" s="812">
        <v>4.9780514202671</v>
      </c>
    </row>
    <row r="504" spans="1:20">
      <c r="A504" t="s">
        <v>1560</v>
      </c>
      <c r="B504" s="6" t="str">
        <f>HYPERLINK("http://www.ncbi.nlm.nih.gov/gene/77590", "77590")</f>
        <v>77590</v>
      </c>
      <c r="C504" s="6" t="str">
        <f>HYPERLINK("http://www.ncbi.nlm.nih.gov/gene/51363", "51363")</f>
        <v>51363</v>
      </c>
      <c r="D504" t="str">
        <f>"Chst15"</f>
        <v>Chst15</v>
      </c>
      <c r="E504" t="s">
        <v>1561</v>
      </c>
      <c r="F504" t="s">
        <v>1562</v>
      </c>
      <c r="G504" t="s">
        <v>1563</v>
      </c>
      <c r="H504" s="517">
        <v>3</v>
      </c>
      <c r="I504" s="189">
        <v>8.2139021403708092</v>
      </c>
      <c r="J504" s="166">
        <v>7.9041512637134899</v>
      </c>
      <c r="K504" s="177">
        <v>8.1761495549689798</v>
      </c>
      <c r="L504" s="1878">
        <v>5.80822447875211</v>
      </c>
      <c r="M504" s="549">
        <v>5.7344841571602103</v>
      </c>
      <c r="N504" s="680">
        <v>5.8453043506626496</v>
      </c>
      <c r="O504" s="1052">
        <v>5.4116895629243098</v>
      </c>
      <c r="P504" s="864">
        <v>5.3731242458234298</v>
      </c>
      <c r="Q504" s="2316">
        <v>5.2069171187520196</v>
      </c>
      <c r="R504" s="892">
        <v>5.8297798838558004</v>
      </c>
      <c r="S504" s="906">
        <v>5.9502202732314302</v>
      </c>
      <c r="T504" s="660">
        <v>5.6988634263271702</v>
      </c>
    </row>
    <row r="505" spans="1:20">
      <c r="A505" t="s">
        <v>1564</v>
      </c>
      <c r="B505" s="6" t="str">
        <f>HYPERLINK("http://www.ncbi.nlm.nih.gov/gene/83691", "83691")</f>
        <v>83691</v>
      </c>
      <c r="C505" s="6" t="str">
        <f>HYPERLINK("http://www.ncbi.nlm.nih.gov/gene/83690", "83690")</f>
        <v>83690</v>
      </c>
      <c r="D505" t="str">
        <f>"Crispld1"</f>
        <v>Crispld1</v>
      </c>
      <c r="E505" t="s">
        <v>1565</v>
      </c>
      <c r="F505" t="s">
        <v>691</v>
      </c>
      <c r="H505" s="517">
        <v>3</v>
      </c>
      <c r="I505" s="234">
        <v>8.06046832976382</v>
      </c>
      <c r="J505" s="177">
        <v>8.1926285128614609</v>
      </c>
      <c r="K505" s="113">
        <v>8.1499293086691704</v>
      </c>
      <c r="L505" s="2037">
        <v>6.6878085626943404</v>
      </c>
      <c r="M505" s="538">
        <v>6.63945611318149</v>
      </c>
      <c r="N505" s="579">
        <v>6.6938407966808002</v>
      </c>
      <c r="O505" s="1176">
        <v>6.44369136484862</v>
      </c>
      <c r="P505" s="872">
        <v>6.4693366757230502</v>
      </c>
      <c r="Q505" s="2056">
        <v>6.4893810193113604</v>
      </c>
      <c r="R505" s="743">
        <v>6.9591426044806601</v>
      </c>
      <c r="S505" s="658">
        <v>6.9807337892506096</v>
      </c>
      <c r="T505" s="1437">
        <v>6.7090888814296497</v>
      </c>
    </row>
    <row r="506" spans="1:20">
      <c r="A506" t="s">
        <v>1566</v>
      </c>
      <c r="B506" s="6" t="str">
        <f>HYPERLINK("http://www.ncbi.nlm.nih.gov/gene/20503", "20503")</f>
        <v>20503</v>
      </c>
      <c r="C506" s="6" t="str">
        <f>HYPERLINK("http://www.ncbi.nlm.nih.gov/gene/9194", "9194")</f>
        <v>9194</v>
      </c>
      <c r="D506" t="str">
        <f>"Slc16a7"</f>
        <v>Slc16a7</v>
      </c>
      <c r="E506" t="s">
        <v>1567</v>
      </c>
      <c r="F506" t="s">
        <v>1568</v>
      </c>
      <c r="H506" s="517">
        <v>3</v>
      </c>
      <c r="I506" s="193">
        <v>7.0259886834479097</v>
      </c>
      <c r="J506" s="124">
        <v>7.0466250995465698</v>
      </c>
      <c r="K506" s="138">
        <v>7.1733450714751799</v>
      </c>
      <c r="L506" s="2072">
        <v>4.3207423007789298</v>
      </c>
      <c r="M506" s="595">
        <v>4.8688900220260001</v>
      </c>
      <c r="N506" s="1181">
        <v>4.4864556424279396</v>
      </c>
      <c r="O506" s="1230">
        <v>5.0737363466557399</v>
      </c>
      <c r="P506" s="832">
        <v>4.8325595121924998</v>
      </c>
      <c r="Q506" s="2262">
        <v>4.8928329351229998</v>
      </c>
      <c r="R506" s="992">
        <v>4.4011262125374797</v>
      </c>
      <c r="S506" s="699">
        <v>4.9469022183890496</v>
      </c>
      <c r="T506" s="588">
        <v>4.81509866983615</v>
      </c>
    </row>
    <row r="507" spans="1:20">
      <c r="A507" t="s">
        <v>1569</v>
      </c>
      <c r="B507" s="6" t="str">
        <f>HYPERLINK("http://www.ncbi.nlm.nih.gov/gene/27387", "27387")</f>
        <v>27387</v>
      </c>
      <c r="C507" s="6" t="str">
        <f>HYPERLINK("http://www.ncbi.nlm.nih.gov/gene/10044", "10044")</f>
        <v>10044</v>
      </c>
      <c r="D507" t="str">
        <f>"Sh2d3c"</f>
        <v>Sh2d3c</v>
      </c>
      <c r="E507" t="s">
        <v>1570</v>
      </c>
      <c r="F507" t="s">
        <v>1571</v>
      </c>
      <c r="H507" s="517">
        <v>3</v>
      </c>
      <c r="I507" s="94">
        <v>6.5944568008201099</v>
      </c>
      <c r="J507" s="264">
        <v>6.4765324961424602</v>
      </c>
      <c r="K507" s="267">
        <v>6.5732626148126299</v>
      </c>
      <c r="L507" s="2072">
        <v>4.7984355849591402</v>
      </c>
      <c r="M507" s="533">
        <v>5.1079865010278196</v>
      </c>
      <c r="N507" s="1317">
        <v>4.4851232763623203</v>
      </c>
      <c r="O507" s="1257">
        <v>5.2555852450876497</v>
      </c>
      <c r="P507" s="910">
        <v>5.27634622305946</v>
      </c>
      <c r="Q507" s="2057">
        <v>5.0825097112409798</v>
      </c>
      <c r="R507" s="891">
        <v>5.0159739171338904</v>
      </c>
      <c r="S507" s="779">
        <v>5.3714449417456196</v>
      </c>
      <c r="T507" s="794">
        <v>5.3847739454249997</v>
      </c>
    </row>
    <row r="508" spans="1:20">
      <c r="A508" t="s">
        <v>1572</v>
      </c>
      <c r="B508" s="6" t="str">
        <f>HYPERLINK("http://www.ncbi.nlm.nih.gov/gene/18552", "18552")</f>
        <v>18552</v>
      </c>
      <c r="C508" s="6" t="str">
        <f>HYPERLINK("http://www.ncbi.nlm.nih.gov/gene/5125", "5125")</f>
        <v>5125</v>
      </c>
      <c r="D508" t="str">
        <f>"Pcsk5"</f>
        <v>Pcsk5</v>
      </c>
      <c r="E508" t="s">
        <v>1573</v>
      </c>
      <c r="F508" t="s">
        <v>1574</v>
      </c>
      <c r="H508" s="517">
        <v>3</v>
      </c>
      <c r="I508" s="144">
        <v>6.8153156852486401</v>
      </c>
      <c r="J508" s="254">
        <v>6.5036868871603701</v>
      </c>
      <c r="K508" s="137">
        <v>6.6239772597651703</v>
      </c>
      <c r="L508" s="1867">
        <v>5.5022532892665499</v>
      </c>
      <c r="M508" s="729">
        <v>5.4709366228743601</v>
      </c>
      <c r="N508" s="662">
        <v>5.6250800755449202</v>
      </c>
      <c r="O508" s="1106">
        <v>5.7414930541008298</v>
      </c>
      <c r="P508" s="1006">
        <v>5.70691936364934</v>
      </c>
      <c r="Q508" s="2170">
        <v>5.7562323543438696</v>
      </c>
      <c r="R508" s="1065">
        <v>5.7724651467024897</v>
      </c>
      <c r="S508" s="1367">
        <v>5.5726526892175796</v>
      </c>
      <c r="T508" s="1374">
        <v>5.7035490651557996</v>
      </c>
    </row>
    <row r="509" spans="1:20">
      <c r="A509" t="s">
        <v>1575</v>
      </c>
      <c r="B509" s="6" t="str">
        <f>HYPERLINK("http://www.ncbi.nlm.nih.gov/gene/105827", "105827")</f>
        <v>105827</v>
      </c>
      <c r="C509" s="6" t="str">
        <f>HYPERLINK("http://www.ncbi.nlm.nih.gov/gene/347902", "347902")</f>
        <v>347902</v>
      </c>
      <c r="D509" t="str">
        <f>"Amigo2"</f>
        <v>Amigo2</v>
      </c>
      <c r="E509" t="s">
        <v>1576</v>
      </c>
      <c r="F509" t="s">
        <v>1577</v>
      </c>
      <c r="H509" s="517">
        <v>3</v>
      </c>
      <c r="I509" s="107">
        <v>6.23948270878922</v>
      </c>
      <c r="J509" s="85">
        <v>6.1173483183426098</v>
      </c>
      <c r="K509" s="207">
        <v>6.3375850075495404</v>
      </c>
      <c r="L509" s="1925">
        <v>4.7604791281166801</v>
      </c>
      <c r="M509" s="1109">
        <v>4.9641395330339098</v>
      </c>
      <c r="N509" s="622">
        <v>5.0726390707308804</v>
      </c>
      <c r="O509" s="736">
        <v>5.3251418901768703</v>
      </c>
      <c r="P509" s="699">
        <v>5.2092810345043503</v>
      </c>
      <c r="Q509" s="2239">
        <v>5.2161732656745796</v>
      </c>
      <c r="R509" s="853">
        <v>5.2825998543649799</v>
      </c>
      <c r="S509" s="663">
        <v>5.05818530571237</v>
      </c>
      <c r="T509" s="588">
        <v>5.1476924293621096</v>
      </c>
    </row>
    <row r="510" spans="1:20">
      <c r="A510" t="s">
        <v>1578</v>
      </c>
      <c r="B510" s="6" t="str">
        <f>HYPERLINK("http://www.ncbi.nlm.nih.gov/gene/12826", "12826")</f>
        <v>12826</v>
      </c>
      <c r="C510" s="6" t="str">
        <f>HYPERLINK("http://www.ncbi.nlm.nih.gov/gene/1282", "1282")</f>
        <v>1282</v>
      </c>
      <c r="D510" t="str">
        <f>"Col4a1"</f>
        <v>Col4a1</v>
      </c>
      <c r="E510" t="s">
        <v>1579</v>
      </c>
      <c r="F510" t="s">
        <v>1580</v>
      </c>
      <c r="G510" t="s">
        <v>1158</v>
      </c>
      <c r="H510" s="517">
        <v>3</v>
      </c>
      <c r="I510" s="92">
        <v>6.77536225202791</v>
      </c>
      <c r="J510" s="107">
        <v>6.8009007032039897</v>
      </c>
      <c r="K510" s="112">
        <v>6.8834257990216097</v>
      </c>
      <c r="L510" s="2051">
        <v>5.2109703388109399</v>
      </c>
      <c r="M510" s="1007">
        <v>5.1094643444529</v>
      </c>
      <c r="N510" s="1029">
        <v>5.0156460871672799</v>
      </c>
      <c r="O510" s="1216">
        <v>5.4971418378375203</v>
      </c>
      <c r="P510" s="610">
        <v>5.2816704366447498</v>
      </c>
      <c r="Q510" s="2067">
        <v>5.39936657496155</v>
      </c>
      <c r="R510" s="683">
        <v>5.4318728833488503</v>
      </c>
      <c r="S510" s="1006">
        <v>5.3735357485033699</v>
      </c>
      <c r="T510" s="584">
        <v>5.2034382695558596</v>
      </c>
    </row>
    <row r="511" spans="1:20">
      <c r="A511" t="s">
        <v>1581</v>
      </c>
      <c r="B511" s="6" t="str">
        <f>HYPERLINK("http://www.ncbi.nlm.nih.gov/gene/17313", "17313")</f>
        <v>17313</v>
      </c>
      <c r="C511" s="6" t="str">
        <f>HYPERLINK("http://www.ncbi.nlm.nih.gov/gene/4256", "4256")</f>
        <v>4256</v>
      </c>
      <c r="D511" t="str">
        <f>"Mgp"</f>
        <v>Mgp</v>
      </c>
      <c r="E511" t="s">
        <v>1582</v>
      </c>
      <c r="F511" t="s">
        <v>1583</v>
      </c>
      <c r="H511" s="517">
        <v>3</v>
      </c>
      <c r="I511" s="113">
        <v>10.0109351124533</v>
      </c>
      <c r="J511" s="152">
        <v>10.069954300834301</v>
      </c>
      <c r="K511" s="92">
        <v>9.9448105880575106</v>
      </c>
      <c r="L511" s="1850">
        <v>7.6427234902111998</v>
      </c>
      <c r="M511" s="1367">
        <v>7.53963143771188</v>
      </c>
      <c r="N511" s="1337">
        <v>7.1871236774481204</v>
      </c>
      <c r="O511" s="1106">
        <v>7.9127613066415803</v>
      </c>
      <c r="P511" s="595">
        <v>7.8387932469777999</v>
      </c>
      <c r="Q511" s="2083">
        <v>7.8770163907692003</v>
      </c>
      <c r="R511" s="636">
        <v>7.72158187094717</v>
      </c>
      <c r="S511" s="622">
        <v>7.6407791963292198</v>
      </c>
      <c r="T511" s="1361">
        <v>8.01139414943178</v>
      </c>
    </row>
    <row r="512" spans="1:20">
      <c r="A512" t="s">
        <v>1584</v>
      </c>
      <c r="B512" s="6" t="str">
        <f>HYPERLINK("http://www.ncbi.nlm.nih.gov/gene/18754", "18754")</f>
        <v>18754</v>
      </c>
      <c r="C512" s="6" t="str">
        <f>HYPERLINK("http://www.ncbi.nlm.nih.gov/gene/5581", "5581")</f>
        <v>5581</v>
      </c>
      <c r="D512" t="str">
        <f>"Prkce"</f>
        <v>Prkce</v>
      </c>
      <c r="E512" t="s">
        <v>1585</v>
      </c>
      <c r="F512" t="s">
        <v>1586</v>
      </c>
      <c r="G512" t="s">
        <v>1599</v>
      </c>
      <c r="H512" s="517">
        <v>3</v>
      </c>
      <c r="I512" s="118">
        <v>7.7800778011984901</v>
      </c>
      <c r="J512" s="92">
        <v>7.72080060207609</v>
      </c>
      <c r="K512" s="267">
        <v>7.7376947418589204</v>
      </c>
      <c r="L512" s="2195">
        <v>6.0175807186647097</v>
      </c>
      <c r="M512" s="567">
        <v>5.9707004941992503</v>
      </c>
      <c r="N512" s="1337">
        <v>5.8614379353652799</v>
      </c>
      <c r="O512" s="1219">
        <v>6.2732916016546003</v>
      </c>
      <c r="P512" s="655">
        <v>6.3439672724967897</v>
      </c>
      <c r="Q512" s="2104">
        <v>6.2170857422452102</v>
      </c>
      <c r="R512" s="726">
        <v>6.5396624273343704</v>
      </c>
      <c r="S512" s="595">
        <v>6.2966011271734299</v>
      </c>
      <c r="T512" s="664">
        <v>6.4402353280391704</v>
      </c>
    </row>
    <row r="513" spans="1:20">
      <c r="A513" t="s">
        <v>1600</v>
      </c>
      <c r="B513" s="6" t="str">
        <f>HYPERLINK("http://www.ncbi.nlm.nih.gov/gene/67896", "67896")</f>
        <v>67896</v>
      </c>
      <c r="C513" s="6" t="str">
        <f>HYPERLINK("http://www.ncbi.nlm.nih.gov/gene/151887", "151887")</f>
        <v>151887</v>
      </c>
      <c r="D513" t="str">
        <f>"Ccdc80"</f>
        <v>Ccdc80</v>
      </c>
      <c r="E513" t="s">
        <v>1601</v>
      </c>
      <c r="F513" t="s">
        <v>1619</v>
      </c>
      <c r="H513" s="517">
        <v>3</v>
      </c>
      <c r="I513" s="92">
        <v>9.69025183021731</v>
      </c>
      <c r="J513" s="138">
        <v>9.83509876211345</v>
      </c>
      <c r="K513" s="92">
        <v>9.6940644477076905</v>
      </c>
      <c r="L513" s="2199">
        <v>7.4860425405916997</v>
      </c>
      <c r="M513" s="537">
        <v>7.4758287826405301</v>
      </c>
      <c r="N513" s="1010">
        <v>7.0660983648087603</v>
      </c>
      <c r="O513" s="1172">
        <v>7.6481073707871898</v>
      </c>
      <c r="P513" s="662">
        <v>7.5666729832321602</v>
      </c>
      <c r="Q513" s="2095">
        <v>7.6618352482799201</v>
      </c>
      <c r="R513" s="910">
        <v>7.9013213531947004</v>
      </c>
      <c r="S513" s="687">
        <v>7.83880415986975</v>
      </c>
      <c r="T513" s="534">
        <v>7.9099329553186504</v>
      </c>
    </row>
    <row r="514" spans="1:20">
      <c r="A514" t="s">
        <v>1620</v>
      </c>
      <c r="B514" s="6" t="str">
        <f>HYPERLINK("http://www.ncbi.nlm.nih.gov/gene/223254", "223254")</f>
        <v>223254</v>
      </c>
      <c r="C514" s="6" t="str">
        <f>HYPERLINK("http://www.ncbi.nlm.nih.gov/gene/10160", "10160")</f>
        <v>10160</v>
      </c>
      <c r="D514" t="str">
        <f>"Farp1"</f>
        <v>Farp1</v>
      </c>
      <c r="E514" t="s">
        <v>1621</v>
      </c>
      <c r="F514" t="s">
        <v>1622</v>
      </c>
      <c r="H514" s="517">
        <v>3</v>
      </c>
      <c r="I514" s="207">
        <v>8.7797943472836106</v>
      </c>
      <c r="J514" s="189">
        <v>8.7567985605082903</v>
      </c>
      <c r="K514" s="174">
        <v>8.5630032578344597</v>
      </c>
      <c r="L514" s="1863">
        <v>7.6809320698526999</v>
      </c>
      <c r="M514" s="1324">
        <v>7.75793698426798</v>
      </c>
      <c r="N514" s="1289">
        <v>7.6502830325684803</v>
      </c>
      <c r="O514" s="1360">
        <v>7.8887059486717499</v>
      </c>
      <c r="P514" s="779">
        <v>8.0008518928513599</v>
      </c>
      <c r="Q514" s="2067">
        <v>7.8946651020599496</v>
      </c>
      <c r="R514" s="779">
        <v>7.9992261549166699</v>
      </c>
      <c r="S514" s="663">
        <v>7.7828702222176096</v>
      </c>
      <c r="T514" s="1431">
        <v>7.8122510630261797</v>
      </c>
    </row>
    <row r="515" spans="1:20">
      <c r="A515" t="s">
        <v>1623</v>
      </c>
      <c r="B515" s="6" t="str">
        <f>HYPERLINK("http://www.ncbi.nlm.nih.gov/gene/20623", "20623")</f>
        <v>20623</v>
      </c>
      <c r="C515" s="6" t="str">
        <f>HYPERLINK("http://www.ncbi.nlm.nih.gov/gene/54861", "54861")</f>
        <v>54861</v>
      </c>
      <c r="D515" t="str">
        <f>"Snrk"</f>
        <v>Snrk</v>
      </c>
      <c r="E515" t="s">
        <v>1624</v>
      </c>
      <c r="F515" t="s">
        <v>1608</v>
      </c>
      <c r="H515" s="517">
        <v>3</v>
      </c>
      <c r="I515" s="92">
        <v>8.3886070150373993</v>
      </c>
      <c r="J515" s="138">
        <v>8.5098885615575206</v>
      </c>
      <c r="K515" s="119">
        <v>8.2236191969749193</v>
      </c>
      <c r="L515" s="2317">
        <v>7.1632465895138004</v>
      </c>
      <c r="M515" s="543">
        <v>6.69778970527888</v>
      </c>
      <c r="N515" s="781">
        <v>7.04083963107737</v>
      </c>
      <c r="O515" s="1438">
        <v>6.1706313879360302</v>
      </c>
      <c r="P515" s="1439">
        <v>6.1726491742510099</v>
      </c>
      <c r="Q515" s="2318">
        <v>6.2448866803393202</v>
      </c>
      <c r="R515" s="659">
        <v>6.5797044195166103</v>
      </c>
      <c r="S515" s="595">
        <v>6.6677512932752601</v>
      </c>
      <c r="T515" s="1290">
        <v>6.5348182792148899</v>
      </c>
    </row>
    <row r="516" spans="1:20">
      <c r="A516" t="s">
        <v>1609</v>
      </c>
      <c r="B516" s="6" t="str">
        <f>HYPERLINK("http://www.ncbi.nlm.nih.gov/gene/207596", "207596")</f>
        <v>207596</v>
      </c>
      <c r="C516" s="6" t="str">
        <f>HYPERLINK("http://www.ncbi.nlm.nih.gov/gene/79875", "79875")</f>
        <v>79875</v>
      </c>
      <c r="D516" t="str">
        <f>"Thsd4"</f>
        <v>Thsd4</v>
      </c>
      <c r="E516" t="s">
        <v>1610</v>
      </c>
      <c r="F516" t="s">
        <v>1587</v>
      </c>
      <c r="H516" s="517">
        <v>3</v>
      </c>
      <c r="I516" s="203">
        <v>6.9882643425662598</v>
      </c>
      <c r="J516" s="234">
        <v>6.7781427937672802</v>
      </c>
      <c r="K516" s="196">
        <v>6.8192678929790498</v>
      </c>
      <c r="L516" s="1917">
        <v>5.2694700972815403</v>
      </c>
      <c r="M516" s="892">
        <v>4.9384287063808197</v>
      </c>
      <c r="N516" s="906">
        <v>5.0428175358574103</v>
      </c>
      <c r="O516" s="1202">
        <v>4.5166766989304401</v>
      </c>
      <c r="P516" s="722">
        <v>4.2113249345632404</v>
      </c>
      <c r="Q516" s="2075">
        <v>4.3449940080081699</v>
      </c>
      <c r="R516" s="790">
        <v>5.1243334999495298</v>
      </c>
      <c r="S516" s="1006">
        <v>4.9116517678863003</v>
      </c>
      <c r="T516" s="660">
        <v>4.8239964282673897</v>
      </c>
    </row>
    <row r="517" spans="1:20">
      <c r="A517" t="s">
        <v>1588</v>
      </c>
      <c r="B517" s="6" t="str">
        <f>HYPERLINK("http://www.ncbi.nlm.nih.gov/gene/108150", "108150")</f>
        <v>108150</v>
      </c>
      <c r="C517" s="6" t="str">
        <f>HYPERLINK("http://www.ncbi.nlm.nih.gov/gene/51809", "51809")</f>
        <v>51809</v>
      </c>
      <c r="D517" t="str">
        <f>"Galnt7"</f>
        <v>Galnt7</v>
      </c>
      <c r="E517" t="s">
        <v>1589</v>
      </c>
      <c r="F517" t="s">
        <v>1611</v>
      </c>
      <c r="G517" t="s">
        <v>698</v>
      </c>
      <c r="H517" s="517">
        <v>3</v>
      </c>
      <c r="I517" s="94">
        <v>7.7365515959776401</v>
      </c>
      <c r="J517" s="166">
        <v>7.6250518081060603</v>
      </c>
      <c r="K517" s="85">
        <v>7.5677784705416702</v>
      </c>
      <c r="L517" s="2319">
        <v>6.5084715729432201</v>
      </c>
      <c r="M517" s="654">
        <v>6.4455325522155702</v>
      </c>
      <c r="N517" s="1401">
        <v>6.6855393794123197</v>
      </c>
      <c r="O517" s="1440">
        <v>5.8673780568617397</v>
      </c>
      <c r="P517" s="1308">
        <v>5.9315579412130299</v>
      </c>
      <c r="Q517" s="2320">
        <v>5.6987111556952499</v>
      </c>
      <c r="R517" s="655">
        <v>6.3840670285247798</v>
      </c>
      <c r="S517" s="1226">
        <v>6.6468888957419203</v>
      </c>
      <c r="T517" s="551">
        <v>6.4345089257724197</v>
      </c>
    </row>
    <row r="518" spans="1:20">
      <c r="A518" t="s">
        <v>1612</v>
      </c>
      <c r="B518" s="6" t="str">
        <f>HYPERLINK("http://www.ncbi.nlm.nih.gov/gene/14190", "14190")</f>
        <v>14190</v>
      </c>
      <c r="C518" s="6" t="str">
        <f>HYPERLINK("http://www.ncbi.nlm.nih.gov/gene/10875", "10875")</f>
        <v>10875</v>
      </c>
      <c r="D518" t="str">
        <f>"Fgl2"</f>
        <v>Fgl2</v>
      </c>
      <c r="E518" t="s">
        <v>1613</v>
      </c>
      <c r="F518" t="s">
        <v>1614</v>
      </c>
      <c r="H518" s="517">
        <v>3</v>
      </c>
      <c r="I518" s="137">
        <v>6.6125269706157201</v>
      </c>
      <c r="J518" s="193">
        <v>6.6252514128940296</v>
      </c>
      <c r="K518" s="217">
        <v>6.5390693710557697</v>
      </c>
      <c r="L518" s="2028">
        <v>5.0662437385052401</v>
      </c>
      <c r="M518" s="793">
        <v>4.99993525079182</v>
      </c>
      <c r="N518" s="854">
        <v>5.0305785149187896</v>
      </c>
      <c r="O518" s="1020">
        <v>4.4054706926836502</v>
      </c>
      <c r="P518" s="1442">
        <v>4.1198568094488799</v>
      </c>
      <c r="Q518" s="2124">
        <v>3.96810504953794</v>
      </c>
      <c r="R518" s="712">
        <v>4.6166486384724204</v>
      </c>
      <c r="S518" s="699">
        <v>4.8231118705660601</v>
      </c>
      <c r="T518" s="1443">
        <v>4.9850045235563902</v>
      </c>
    </row>
    <row r="519" spans="1:20">
      <c r="A519" t="s">
        <v>1615</v>
      </c>
      <c r="B519" s="6" t="str">
        <f>HYPERLINK("http://www.ncbi.nlm.nih.gov/gene/100861843", "100861843")</f>
        <v>100861843</v>
      </c>
      <c r="C519" s="6" t="str">
        <f>HYPERLINK("http://www.ncbi.nlm.nih.gov/gene/", "")</f>
        <v/>
      </c>
      <c r="D519" t="str">
        <f>"LOC100861843"</f>
        <v>LOC100861843</v>
      </c>
      <c r="E519" t="s">
        <v>1616</v>
      </c>
      <c r="H519" s="517">
        <v>3</v>
      </c>
      <c r="I519" s="48">
        <v>7.3532135633995299</v>
      </c>
      <c r="J519" s="217">
        <v>7.1196117662978198</v>
      </c>
      <c r="K519" s="394">
        <v>6.8008757725819304</v>
      </c>
      <c r="L519" s="2120">
        <v>6.0770110052368604</v>
      </c>
      <c r="M519" s="1226">
        <v>5.91964546137417</v>
      </c>
      <c r="N519" s="694">
        <v>5.6861257851009599</v>
      </c>
      <c r="O519" s="1444">
        <v>5.1628362669932297</v>
      </c>
      <c r="P519" s="856">
        <v>4.9504505450010496</v>
      </c>
      <c r="Q519" s="2321">
        <v>4.7158559152377597</v>
      </c>
      <c r="R519" s="892">
        <v>5.5786476748242597</v>
      </c>
      <c r="S519" s="600">
        <v>5.5704175257120498</v>
      </c>
      <c r="T519" s="1434">
        <v>5.8105947380178504</v>
      </c>
    </row>
    <row r="520" spans="1:20">
      <c r="A520" t="s">
        <v>1617</v>
      </c>
      <c r="B520" s="6" t="str">
        <f>HYPERLINK("http://www.ncbi.nlm.nih.gov/gene/23876", "23876")</f>
        <v>23876</v>
      </c>
      <c r="C520" s="6" t="str">
        <f>HYPERLINK("http://www.ncbi.nlm.nih.gov/gene/10516", "10516")</f>
        <v>10516</v>
      </c>
      <c r="D520" t="str">
        <f>"Fbln5"</f>
        <v>Fbln5</v>
      </c>
      <c r="E520" t="s">
        <v>1618</v>
      </c>
      <c r="F520" t="s">
        <v>1590</v>
      </c>
      <c r="H520" s="517">
        <v>3</v>
      </c>
      <c r="I520" s="331">
        <v>9.2044579962808708</v>
      </c>
      <c r="J520" s="264">
        <v>9.1804879454095598</v>
      </c>
      <c r="K520" s="178">
        <v>9.0101527344509496</v>
      </c>
      <c r="L520" s="1842">
        <v>7.7530053589191699</v>
      </c>
      <c r="M520" s="626">
        <v>7.8583689228043303</v>
      </c>
      <c r="N520" s="833">
        <v>7.6878211881249099</v>
      </c>
      <c r="O520" s="1446">
        <v>6.3734912722902504</v>
      </c>
      <c r="P520" s="1173">
        <v>6.2754781631573398</v>
      </c>
      <c r="Q520" s="2322">
        <v>6.3898076715376098</v>
      </c>
      <c r="R520" s="550">
        <v>7.4481104602570198</v>
      </c>
      <c r="S520" s="700">
        <v>7.4931373001474704</v>
      </c>
      <c r="T520" s="551">
        <v>7.3818261776783798</v>
      </c>
    </row>
    <row r="521" spans="1:20">
      <c r="A521" t="s">
        <v>1591</v>
      </c>
      <c r="B521" s="6" t="str">
        <f>HYPERLINK("http://www.ncbi.nlm.nih.gov/gene/723899", "723899")</f>
        <v>723899</v>
      </c>
      <c r="C521" s="6" t="str">
        <f>HYPERLINK("http://www.ncbi.nlm.nih.gov/gene/", "")</f>
        <v/>
      </c>
      <c r="D521" t="str">
        <f>"Mir365-1"</f>
        <v>Mir365-1</v>
      </c>
      <c r="E521" t="s">
        <v>1592</v>
      </c>
      <c r="F521" t="s">
        <v>1593</v>
      </c>
      <c r="H521" s="517">
        <v>3</v>
      </c>
      <c r="I521" s="132">
        <v>4.7398644177809901</v>
      </c>
      <c r="J521" s="274">
        <v>4.4653586981851197</v>
      </c>
      <c r="K521" s="107">
        <v>4.6998983549341302</v>
      </c>
      <c r="L521" s="2169">
        <v>3.2004171322294201</v>
      </c>
      <c r="M521" s="599">
        <v>2.83790603457479</v>
      </c>
      <c r="N521" s="669">
        <v>2.8483163081489402</v>
      </c>
      <c r="O521" s="1146">
        <v>2.11725736140701</v>
      </c>
      <c r="P521" s="1448">
        <v>2.18809143890488</v>
      </c>
      <c r="Q521" s="2041">
        <v>2.74599447823867</v>
      </c>
      <c r="R521" s="645">
        <v>3.3585103466992998</v>
      </c>
      <c r="S521" s="712">
        <v>2.72919426977802</v>
      </c>
      <c r="T521" s="1405">
        <v>3.0605482751888999</v>
      </c>
    </row>
    <row r="522" spans="1:20">
      <c r="A522" t="s">
        <v>1594</v>
      </c>
      <c r="B522" s="6" t="str">
        <f>HYPERLINK("http://www.ncbi.nlm.nih.gov/gene/433938", "433938")</f>
        <v>433938</v>
      </c>
      <c r="C522" s="6" t="str">
        <f>HYPERLINK("http://www.ncbi.nlm.nih.gov/gene/4330", "4330")</f>
        <v>4330</v>
      </c>
      <c r="D522" t="str">
        <f>"Mn1"</f>
        <v>Mn1</v>
      </c>
      <c r="E522" t="s">
        <v>1595</v>
      </c>
      <c r="F522" t="s">
        <v>1596</v>
      </c>
      <c r="H522" s="517">
        <v>3</v>
      </c>
      <c r="I522" s="86">
        <v>5.6406806828831897</v>
      </c>
      <c r="J522" s="208">
        <v>5.8049064837720898</v>
      </c>
      <c r="K522" s="217">
        <v>5.7777951214463501</v>
      </c>
      <c r="L522" s="2175">
        <v>4.5664681825598796</v>
      </c>
      <c r="M522" s="1228">
        <v>4.8041691773089399</v>
      </c>
      <c r="N522" s="636">
        <v>4.5808485287771701</v>
      </c>
      <c r="O522" s="1449">
        <v>4.1757268685276401</v>
      </c>
      <c r="P522" s="1337">
        <v>4.2804619913898403</v>
      </c>
      <c r="Q522" s="2323">
        <v>4.1997164193873902</v>
      </c>
      <c r="R522" s="951">
        <v>5.2825626224012998</v>
      </c>
      <c r="S522" s="695">
        <v>4.7552426869220703</v>
      </c>
      <c r="T522" s="646">
        <v>4.8846404444401204</v>
      </c>
    </row>
    <row r="523" spans="1:20">
      <c r="A523" t="s">
        <v>1597</v>
      </c>
      <c r="B523" s="6" t="str">
        <f>HYPERLINK("http://www.ncbi.nlm.nih.gov/gene/114774", "114774")</f>
        <v>114774</v>
      </c>
      <c r="C523" s="6" t="str">
        <f>HYPERLINK("http://www.ncbi.nlm.nih.gov/gene/5074", "5074")</f>
        <v>5074</v>
      </c>
      <c r="D523" t="str">
        <f>"Pawr"</f>
        <v>Pawr</v>
      </c>
      <c r="E523" t="s">
        <v>1598</v>
      </c>
      <c r="F523" t="s">
        <v>1602</v>
      </c>
      <c r="H523" s="517">
        <v>3</v>
      </c>
      <c r="I523" s="132">
        <v>7.2430782901333997</v>
      </c>
      <c r="J523" s="193">
        <v>7.2112586207755003</v>
      </c>
      <c r="K523" s="261">
        <v>6.9314680638079897</v>
      </c>
      <c r="L523" s="2324">
        <v>5.4919961835399498</v>
      </c>
      <c r="M523" s="1346">
        <v>6.0370544582649899</v>
      </c>
      <c r="N523" s="579">
        <v>6.1629000393493802</v>
      </c>
      <c r="O523" s="1046">
        <v>6.1180660861690601</v>
      </c>
      <c r="P523" s="669">
        <v>6.1940408865301304</v>
      </c>
      <c r="Q523" s="2180">
        <v>6.3389609088153502</v>
      </c>
      <c r="R523" s="645">
        <v>6.4764490686432703</v>
      </c>
      <c r="S523" s="920">
        <v>6.4836129765456203</v>
      </c>
      <c r="T523" s="1385">
        <v>6.31432171234266</v>
      </c>
    </row>
    <row r="524" spans="1:20">
      <c r="A524" t="s">
        <v>1603</v>
      </c>
      <c r="B524" s="6" t="str">
        <f>HYPERLINK("http://www.ncbi.nlm.nih.gov/gene/263406", "263406")</f>
        <v>263406</v>
      </c>
      <c r="C524" s="6" t="str">
        <f>HYPERLINK("http://www.ncbi.nlm.nih.gov/gene/26030", "26030")</f>
        <v>26030</v>
      </c>
      <c r="D524" t="str">
        <f>"Plekhg3"</f>
        <v>Plekhg3</v>
      </c>
      <c r="E524" t="s">
        <v>1604</v>
      </c>
      <c r="F524" t="s">
        <v>1605</v>
      </c>
      <c r="H524" s="517">
        <v>3</v>
      </c>
      <c r="I524" s="115">
        <v>5.9996876751828596</v>
      </c>
      <c r="J524" s="208">
        <v>5.9005040241708597</v>
      </c>
      <c r="K524" s="355">
        <v>5.6683218907995601</v>
      </c>
      <c r="L524" s="2275">
        <v>4.6956123100159202</v>
      </c>
      <c r="M524" s="1572">
        <v>4.6363577920249499</v>
      </c>
      <c r="N524" s="1073">
        <v>4.7721613786544301</v>
      </c>
      <c r="O524" s="1106">
        <v>5.0565763674339301</v>
      </c>
      <c r="P524" s="1291">
        <v>5.0689476005351999</v>
      </c>
      <c r="Q524" s="2173">
        <v>4.9318989560095998</v>
      </c>
      <c r="R524" s="833">
        <v>5.2234418568234098</v>
      </c>
      <c r="S524" s="750">
        <v>5.27947068498906</v>
      </c>
      <c r="T524" s="765">
        <v>5.3431079713256198</v>
      </c>
    </row>
    <row r="525" spans="1:20">
      <c r="A525" t="s">
        <v>1606</v>
      </c>
      <c r="B525" s="6" t="str">
        <f>HYPERLINK("http://www.ncbi.nlm.nih.gov/gene/13614", "13614")</f>
        <v>13614</v>
      </c>
      <c r="C525" s="6" t="str">
        <f>HYPERLINK("http://www.ncbi.nlm.nih.gov/gene/1906", "1906")</f>
        <v>1906</v>
      </c>
      <c r="D525" t="str">
        <f>"Edn1"</f>
        <v>Edn1</v>
      </c>
      <c r="E525" t="s">
        <v>1607</v>
      </c>
      <c r="F525" t="s">
        <v>1625</v>
      </c>
      <c r="G525" t="s">
        <v>1629</v>
      </c>
      <c r="H525" s="517">
        <v>3</v>
      </c>
      <c r="I525" s="240">
        <v>4.9443305524230396</v>
      </c>
      <c r="J525" s="217">
        <v>4.84575220296687</v>
      </c>
      <c r="K525" s="153">
        <v>4.5337977098232702</v>
      </c>
      <c r="L525" s="2283">
        <v>2.9745706384705599</v>
      </c>
      <c r="M525" s="864">
        <v>3.1084529677772199</v>
      </c>
      <c r="N525" s="1767">
        <v>2.7747876310825599</v>
      </c>
      <c r="O525" s="1080">
        <v>3.1933858279345202</v>
      </c>
      <c r="P525" s="992">
        <v>3.0636786454613101</v>
      </c>
      <c r="Q525" s="2221">
        <v>3.2198920981515502</v>
      </c>
      <c r="R525" s="1251">
        <v>3.7797900427943301</v>
      </c>
      <c r="S525" s="946">
        <v>4.1867603163053602</v>
      </c>
      <c r="T525" s="1450">
        <v>3.9269071837360099</v>
      </c>
    </row>
    <row r="526" spans="1:20">
      <c r="A526" t="s">
        <v>1630</v>
      </c>
      <c r="B526" s="6" t="str">
        <f>HYPERLINK("http://www.ncbi.nlm.nih.gov/gene/19122", "19122")</f>
        <v>19122</v>
      </c>
      <c r="C526" s="6" t="str">
        <f>HYPERLINK("http://www.ncbi.nlm.nih.gov/gene/5621", "5621")</f>
        <v>5621</v>
      </c>
      <c r="D526" t="str">
        <f>"Prnp"</f>
        <v>Prnp</v>
      </c>
      <c r="E526" t="s">
        <v>1631</v>
      </c>
      <c r="F526" t="s">
        <v>1632</v>
      </c>
      <c r="G526" t="s">
        <v>1642</v>
      </c>
      <c r="H526" s="517">
        <v>3</v>
      </c>
      <c r="I526" s="86">
        <v>7.1462397221614502</v>
      </c>
      <c r="J526" s="116">
        <v>7.3123134390633604</v>
      </c>
      <c r="K526" s="201">
        <v>7.2760849021771303</v>
      </c>
      <c r="L526" s="2193">
        <v>5.9408804546562299</v>
      </c>
      <c r="M526" s="1143">
        <v>5.7118429299974496</v>
      </c>
      <c r="N526" s="1321">
        <v>5.7842544718829796</v>
      </c>
      <c r="O526" s="1200">
        <v>6.0827612180684003</v>
      </c>
      <c r="P526" s="851">
        <v>6.1373323992623101</v>
      </c>
      <c r="Q526" s="2325">
        <v>6.3413786401308201</v>
      </c>
      <c r="R526" s="830">
        <v>6.4287932702320001</v>
      </c>
      <c r="S526" s="824">
        <v>6.6665391388093997</v>
      </c>
      <c r="T526" s="1451">
        <v>6.5987657289385799</v>
      </c>
    </row>
    <row r="527" spans="1:20">
      <c r="A527" t="s">
        <v>1643</v>
      </c>
      <c r="B527" s="6" t="str">
        <f>HYPERLINK("http://www.ncbi.nlm.nih.gov/gene/77521", "77521")</f>
        <v>77521</v>
      </c>
      <c r="C527" s="6" t="str">
        <f>HYPERLINK("http://www.ncbi.nlm.nih.gov/gene/23281", "23281")</f>
        <v>23281</v>
      </c>
      <c r="D527" t="str">
        <f>"Mtus2"</f>
        <v>Mtus2</v>
      </c>
      <c r="E527" t="s">
        <v>1644</v>
      </c>
      <c r="F527" t="s">
        <v>1645</v>
      </c>
      <c r="H527" s="517">
        <v>3</v>
      </c>
      <c r="I527" s="193">
        <v>5.0190323225476003</v>
      </c>
      <c r="J527" s="296">
        <v>4.8518955323298503</v>
      </c>
      <c r="K527" s="77">
        <v>4.9104670928399701</v>
      </c>
      <c r="L527" s="1909">
        <v>4.1330859731800702</v>
      </c>
      <c r="M527" s="1704">
        <v>3.49253690490574</v>
      </c>
      <c r="N527" s="997">
        <v>3.9802717750959902</v>
      </c>
      <c r="O527" s="1034">
        <v>4.1706221079730099</v>
      </c>
      <c r="P527" s="699">
        <v>4.19559097888287</v>
      </c>
      <c r="Q527" s="2272">
        <v>4.3661639043050897</v>
      </c>
      <c r="R527" s="1251">
        <v>4.3846248362073599</v>
      </c>
      <c r="S527" s="788">
        <v>4.43370383275027</v>
      </c>
      <c r="T527" s="716">
        <v>4.2201480935206197</v>
      </c>
    </row>
    <row r="528" spans="1:20">
      <c r="A528" t="s">
        <v>1646</v>
      </c>
      <c r="B528" s="6" t="str">
        <f>HYPERLINK("http://www.ncbi.nlm.nih.gov/gene/140577", "140577")</f>
        <v>140577</v>
      </c>
      <c r="C528" s="6" t="str">
        <f>HYPERLINK("http://www.ncbi.nlm.nih.gov/gene/22881", "22881")</f>
        <v>22881</v>
      </c>
      <c r="D528" t="str">
        <f>"Ankrd6"</f>
        <v>Ankrd6</v>
      </c>
      <c r="E528" t="s">
        <v>1647</v>
      </c>
      <c r="F528" t="s">
        <v>1626</v>
      </c>
      <c r="H528" s="517">
        <v>3</v>
      </c>
      <c r="I528" s="107">
        <v>6.7140864139854104</v>
      </c>
      <c r="J528" s="347">
        <v>6.4125993865971704</v>
      </c>
      <c r="K528" s="103">
        <v>6.6257919818294297</v>
      </c>
      <c r="L528" s="1933">
        <v>5.6910470619979501</v>
      </c>
      <c r="M528" s="1721">
        <v>5.2533443617372502</v>
      </c>
      <c r="N528" s="993">
        <v>5.6784615719957801</v>
      </c>
      <c r="O528" s="1106">
        <v>5.8761941208143504</v>
      </c>
      <c r="P528" s="859">
        <v>5.6691437913918703</v>
      </c>
      <c r="Q528" s="2151">
        <v>5.8365041348759199</v>
      </c>
      <c r="R528" s="1452">
        <v>6.2136298071753702</v>
      </c>
      <c r="S528" s="816">
        <v>6.2058883640162597</v>
      </c>
      <c r="T528" s="828">
        <v>6.10110800722705</v>
      </c>
    </row>
    <row r="529" spans="1:20">
      <c r="A529" t="s">
        <v>1627</v>
      </c>
      <c r="B529" s="6" t="str">
        <f>HYPERLINK("http://www.ncbi.nlm.nih.gov/gene/13395", "13395")</f>
        <v>13395</v>
      </c>
      <c r="C529" s="6" t="str">
        <f>HYPERLINK("http://www.ncbi.nlm.nih.gov/gene/1749", "1749")</f>
        <v>1749</v>
      </c>
      <c r="D529" t="str">
        <f>"Dlx5"</f>
        <v>Dlx5</v>
      </c>
      <c r="E529" t="s">
        <v>1628</v>
      </c>
      <c r="F529" t="s">
        <v>1633</v>
      </c>
      <c r="H529" s="517">
        <v>3</v>
      </c>
      <c r="I529" s="483">
        <v>7.32410253443848</v>
      </c>
      <c r="J529" s="370">
        <v>7.1583365074322103</v>
      </c>
      <c r="K529" s="102">
        <v>7.4574873729969404</v>
      </c>
      <c r="L529" s="2326">
        <v>5.4569925907614598</v>
      </c>
      <c r="M529" s="997">
        <v>5.61576899286597</v>
      </c>
      <c r="N529" s="1447">
        <v>5.3119235592217002</v>
      </c>
      <c r="O529" s="1453">
        <v>5.7865892014596998</v>
      </c>
      <c r="P529" s="561">
        <v>5.7054796149233198</v>
      </c>
      <c r="Q529" s="2056">
        <v>5.6565142042319598</v>
      </c>
      <c r="R529" s="1454">
        <v>6.5321795786705099</v>
      </c>
      <c r="S529" s="875">
        <v>6.6534310586408498</v>
      </c>
      <c r="T529" s="772">
        <v>6.7217483669443201</v>
      </c>
    </row>
    <row r="530" spans="1:20">
      <c r="A530" t="s">
        <v>1634</v>
      </c>
      <c r="B530" s="6" t="str">
        <f>HYPERLINK("http://www.ncbi.nlm.nih.gov/gene/269831", "269831")</f>
        <v>269831</v>
      </c>
      <c r="C530" s="6" t="str">
        <f>HYPERLINK("http://www.ncbi.nlm.nih.gov/gene/23554", "23554")</f>
        <v>23554</v>
      </c>
      <c r="D530" t="str">
        <f>"Tspan12"</f>
        <v>Tspan12</v>
      </c>
      <c r="E530" t="s">
        <v>1635</v>
      </c>
      <c r="F530" t="s">
        <v>1636</v>
      </c>
      <c r="H530" s="517">
        <v>3</v>
      </c>
      <c r="I530" s="475">
        <v>8.9215284844567897</v>
      </c>
      <c r="J530" s="280">
        <v>8.9643837786556197</v>
      </c>
      <c r="K530" s="371">
        <v>8.9590053510024106</v>
      </c>
      <c r="L530" s="2269">
        <v>6.8013683877241897</v>
      </c>
      <c r="M530" s="1029">
        <v>7.1353051061949602</v>
      </c>
      <c r="N530" s="722">
        <v>6.9731182405472802</v>
      </c>
      <c r="O530" s="1075">
        <v>7.4074639969580902</v>
      </c>
      <c r="P530" s="1081">
        <v>7.3593696151219596</v>
      </c>
      <c r="Q530" s="2327">
        <v>7.2576019465334598</v>
      </c>
      <c r="R530" s="1429">
        <v>8.4017848721370605</v>
      </c>
      <c r="S530" s="1430">
        <v>8.3252578702581701</v>
      </c>
      <c r="T530" s="921">
        <v>8.1391947788405403</v>
      </c>
    </row>
    <row r="531" spans="1:20">
      <c r="A531" t="s">
        <v>1637</v>
      </c>
      <c r="B531" s="6" t="str">
        <f>HYPERLINK("http://www.ncbi.nlm.nih.gov/gene/108116", "108116")</f>
        <v>108116</v>
      </c>
      <c r="C531" s="6" t="str">
        <f>HYPERLINK("http://www.ncbi.nlm.nih.gov/gene/28232", "28232")</f>
        <v>28232</v>
      </c>
      <c r="D531" t="str">
        <f>"Slco3a1"</f>
        <v>Slco3a1</v>
      </c>
      <c r="E531" t="s">
        <v>1638</v>
      </c>
      <c r="F531" t="s">
        <v>1639</v>
      </c>
      <c r="H531" s="517">
        <v>3</v>
      </c>
      <c r="I531" s="441">
        <v>6.63645138789943</v>
      </c>
      <c r="J531" s="379">
        <v>6.5304931334312402</v>
      </c>
      <c r="K531" s="297">
        <v>6.6426644465269202</v>
      </c>
      <c r="L531" s="2328">
        <v>5.0175340958111203</v>
      </c>
      <c r="M531" s="566">
        <v>5.3959669715457999</v>
      </c>
      <c r="N531" s="863">
        <v>5.11197646400697</v>
      </c>
      <c r="O531" s="1089">
        <v>5.4224797580368698</v>
      </c>
      <c r="P531" s="619">
        <v>5.4309541726569499</v>
      </c>
      <c r="Q531" s="2329">
        <v>5.3247543299068196</v>
      </c>
      <c r="R531" s="912">
        <v>6.4041344287604796</v>
      </c>
      <c r="S531" s="934">
        <v>6.4340100648677598</v>
      </c>
      <c r="T531" s="1455">
        <v>6.4006355462358702</v>
      </c>
    </row>
    <row r="532" spans="1:20">
      <c r="A532" t="s">
        <v>1640</v>
      </c>
      <c r="B532" s="6" t="str">
        <f>HYPERLINK("http://www.ncbi.nlm.nih.gov/gene/11826", "11826")</f>
        <v>11826</v>
      </c>
      <c r="C532" s="6" t="str">
        <f>HYPERLINK("http://www.ncbi.nlm.nih.gov/gene/358", "358")</f>
        <v>358</v>
      </c>
      <c r="D532" t="str">
        <f>"Aqp1"</f>
        <v>Aqp1</v>
      </c>
      <c r="E532" t="s">
        <v>1641</v>
      </c>
      <c r="F532" t="s">
        <v>1648</v>
      </c>
      <c r="G532" t="s">
        <v>1649</v>
      </c>
      <c r="H532" s="517">
        <v>3</v>
      </c>
      <c r="I532" s="496">
        <v>5.7330191249621301</v>
      </c>
      <c r="J532" s="171">
        <v>5.7226912809268198</v>
      </c>
      <c r="K532" s="477">
        <v>5.9146417655131502</v>
      </c>
      <c r="L532" s="2072">
        <v>4.618955743211</v>
      </c>
      <c r="M532" s="1323">
        <v>4.5069685657677798</v>
      </c>
      <c r="N532" s="859">
        <v>4.6766051907706698</v>
      </c>
      <c r="O532" s="1456">
        <v>4.5360677409715002</v>
      </c>
      <c r="P532" s="573">
        <v>4.7444823737240904</v>
      </c>
      <c r="Q532" s="2330">
        <v>4.59231955028367</v>
      </c>
      <c r="R532" s="1457">
        <v>5.5196168532579497</v>
      </c>
      <c r="S532" s="973">
        <v>5.5445209081873399</v>
      </c>
      <c r="T532" s="1458">
        <v>5.4871227052122702</v>
      </c>
    </row>
    <row r="533" spans="1:20">
      <c r="A533" t="s">
        <v>1650</v>
      </c>
      <c r="B533" s="6" t="str">
        <f>HYPERLINK("http://www.ncbi.nlm.nih.gov/gene/233733", "233733")</f>
        <v>233733</v>
      </c>
      <c r="C533" s="6" t="str">
        <f>HYPERLINK("http://www.ncbi.nlm.nih.gov/gene/374378", "374378")</f>
        <v>374378</v>
      </c>
      <c r="D533" t="str">
        <f>"Galntl4"</f>
        <v>Galntl4</v>
      </c>
      <c r="E533" t="s">
        <v>1651</v>
      </c>
      <c r="F533" t="s">
        <v>1652</v>
      </c>
      <c r="G533" t="s">
        <v>698</v>
      </c>
      <c r="H533" s="517">
        <v>3</v>
      </c>
      <c r="I533" s="132">
        <v>4.9642507019357698</v>
      </c>
      <c r="J533" s="366">
        <v>4.8506179418969202</v>
      </c>
      <c r="K533" s="279">
        <v>4.8233975062448602</v>
      </c>
      <c r="L533" s="1928">
        <v>3.8058351866442601</v>
      </c>
      <c r="M533" s="670">
        <v>3.8619189979376101</v>
      </c>
      <c r="N533" s="1445">
        <v>3.2043907159381</v>
      </c>
      <c r="O533" s="1348">
        <v>3.7005083736050199</v>
      </c>
      <c r="P533" s="997">
        <v>3.5302844931314401</v>
      </c>
      <c r="Q533" s="2075">
        <v>3.4602596416448801</v>
      </c>
      <c r="R533" s="835">
        <v>4.0206487345242801</v>
      </c>
      <c r="S533" s="793">
        <v>3.9340643944299201</v>
      </c>
      <c r="T533" s="821">
        <v>4.14318194954833</v>
      </c>
    </row>
    <row r="534" spans="1:20">
      <c r="A534" t="s">
        <v>1653</v>
      </c>
      <c r="B534" s="6" t="str">
        <f>HYPERLINK("http://www.ncbi.nlm.nih.gov/gene/56175", "56175")</f>
        <v>56175</v>
      </c>
      <c r="C534" s="6" t="str">
        <f>HYPERLINK("http://www.ncbi.nlm.nih.gov/gene/25825", "25825")</f>
        <v>25825</v>
      </c>
      <c r="D534" t="str">
        <f>"Bace2"</f>
        <v>Bace2</v>
      </c>
      <c r="E534" t="s">
        <v>1654</v>
      </c>
      <c r="F534" t="s">
        <v>1655</v>
      </c>
      <c r="G534" t="s">
        <v>677</v>
      </c>
      <c r="H534" s="517">
        <v>3</v>
      </c>
      <c r="I534" s="29">
        <v>5.8523091994879604</v>
      </c>
      <c r="J534" s="118">
        <v>6.2692074275982099</v>
      </c>
      <c r="K534" s="463">
        <v>6.35746225428454</v>
      </c>
      <c r="L534" s="1952">
        <v>4.62160484588789</v>
      </c>
      <c r="M534" s="1281">
        <v>4.4896635929649502</v>
      </c>
      <c r="N534" s="727">
        <v>4.21913392064147</v>
      </c>
      <c r="O534" s="1396">
        <v>4.8297207851535804</v>
      </c>
      <c r="P534" s="832">
        <v>4.8057001248979097</v>
      </c>
      <c r="Q534" s="2040">
        <v>4.5666422139840597</v>
      </c>
      <c r="R534" s="805">
        <v>5.2309186359734996</v>
      </c>
      <c r="S534" s="793">
        <v>5.0118995261994197</v>
      </c>
      <c r="T534" s="797">
        <v>5.2290027005184898</v>
      </c>
    </row>
    <row r="535" spans="1:20">
      <c r="A535" t="s">
        <v>1656</v>
      </c>
      <c r="B535" s="6" t="str">
        <f>HYPERLINK("http://www.ncbi.nlm.nih.gov/gene/20512", "20512")</f>
        <v>20512</v>
      </c>
      <c r="C535" s="6" t="str">
        <f>HYPERLINK("http://www.ncbi.nlm.nih.gov/gene/6507", "6507")</f>
        <v>6507</v>
      </c>
      <c r="D535" t="str">
        <f>"Slc1a3"</f>
        <v>Slc1a3</v>
      </c>
      <c r="E535" t="s">
        <v>1657</v>
      </c>
      <c r="F535" t="s">
        <v>1658</v>
      </c>
      <c r="H535" s="517">
        <v>3</v>
      </c>
      <c r="I535" s="234">
        <v>7.5446923259484402</v>
      </c>
      <c r="J535" s="85">
        <v>7.4859121880157398</v>
      </c>
      <c r="K535" s="116">
        <v>7.5648148560315596</v>
      </c>
      <c r="L535" s="1943">
        <v>6.2887809748405399</v>
      </c>
      <c r="M535" s="532">
        <v>6.5758284007500896</v>
      </c>
      <c r="N535" s="670">
        <v>6.6875216943142899</v>
      </c>
      <c r="O535" s="1086">
        <v>6.3867362923026203</v>
      </c>
      <c r="P535" s="1179">
        <v>6.4243842440428498</v>
      </c>
      <c r="Q535" s="2331">
        <v>6.3329662363593204</v>
      </c>
      <c r="R535" s="699">
        <v>6.6568467994629597</v>
      </c>
      <c r="S535" s="1251">
        <v>6.8685637501054204</v>
      </c>
      <c r="T535" s="1459">
        <v>7.0817090142984203</v>
      </c>
    </row>
    <row r="536" spans="1:20">
      <c r="A536" t="s">
        <v>1666</v>
      </c>
      <c r="B536" s="6" t="str">
        <f>HYPERLINK("http://www.ncbi.nlm.nih.gov/gene/17285", "17285")</f>
        <v>17285</v>
      </c>
      <c r="C536" s="6" t="str">
        <f>HYPERLINK("http://www.ncbi.nlm.nih.gov/gene/4222", "4222")</f>
        <v>4222</v>
      </c>
      <c r="D536" t="str">
        <f>"Meox1"</f>
        <v>Meox1</v>
      </c>
      <c r="E536" t="s">
        <v>1667</v>
      </c>
      <c r="F536" t="s">
        <v>1668</v>
      </c>
      <c r="H536" s="517">
        <v>3</v>
      </c>
      <c r="I536" s="371">
        <v>6.3728093133091299</v>
      </c>
      <c r="J536" s="119">
        <v>6.4380835982404303</v>
      </c>
      <c r="K536" s="245">
        <v>6.8598744309301303</v>
      </c>
      <c r="L536" s="2140">
        <v>4.6116155433285</v>
      </c>
      <c r="M536" s="583">
        <v>4.7007444889267296</v>
      </c>
      <c r="N536" s="1324">
        <v>4.5644400129953899</v>
      </c>
      <c r="O536" s="1460">
        <v>4.3143598181778602</v>
      </c>
      <c r="P536" s="993">
        <v>4.4837927261191597</v>
      </c>
      <c r="Q536" s="2332">
        <v>4.2748653273714003</v>
      </c>
      <c r="R536" s="1228">
        <v>5.0593179981131096</v>
      </c>
      <c r="S536" s="798">
        <v>5.2312095705397601</v>
      </c>
      <c r="T536" s="1461">
        <v>5.4911081531451904</v>
      </c>
    </row>
    <row r="537" spans="1:20">
      <c r="A537" t="s">
        <v>1669</v>
      </c>
      <c r="B537" s="6" t="str">
        <f>HYPERLINK("http://www.ncbi.nlm.nih.gov/gene/21892", "21892")</f>
        <v>21892</v>
      </c>
      <c r="C537" s="6" t="str">
        <f>HYPERLINK("http://www.ncbi.nlm.nih.gov/gene/7092", "7092")</f>
        <v>7092</v>
      </c>
      <c r="D537" t="str">
        <f>"Tll1"</f>
        <v>Tll1</v>
      </c>
      <c r="E537" t="s">
        <v>1670</v>
      </c>
      <c r="F537" t="s">
        <v>1659</v>
      </c>
      <c r="H537" s="517">
        <v>3</v>
      </c>
      <c r="I537" s="143">
        <v>5.8410290476744597</v>
      </c>
      <c r="J537" s="358">
        <v>5.6161355387178</v>
      </c>
      <c r="K537" s="506">
        <v>6.0393101351871197</v>
      </c>
      <c r="L537" s="1869">
        <v>4.5931493966622501</v>
      </c>
      <c r="M537" s="715">
        <v>4.6964499867395002</v>
      </c>
      <c r="N537" s="1340">
        <v>4.5612736259204203</v>
      </c>
      <c r="O537" s="1462">
        <v>4.4827864709126297</v>
      </c>
      <c r="P537" s="699">
        <v>4.8466409418485101</v>
      </c>
      <c r="Q537" s="2093">
        <v>4.6480542382305901</v>
      </c>
      <c r="R537" s="676">
        <v>4.8492099346170097</v>
      </c>
      <c r="S537" s="1251">
        <v>5.0725503050384102</v>
      </c>
      <c r="T537" s="1463">
        <v>5.0576666280854701</v>
      </c>
    </row>
    <row r="538" spans="1:20">
      <c r="A538" t="s">
        <v>1660</v>
      </c>
      <c r="B538" s="6" t="str">
        <f>HYPERLINK("http://www.ncbi.nlm.nih.gov/gene/17268", "17268")</f>
        <v>17268</v>
      </c>
      <c r="C538" s="6" t="str">
        <f>HYPERLINK("http://www.ncbi.nlm.nih.gov/gene/", "")</f>
        <v/>
      </c>
      <c r="D538" t="str">
        <f>"Meis1"</f>
        <v>Meis1</v>
      </c>
      <c r="E538" t="s">
        <v>1661</v>
      </c>
      <c r="F538" t="s">
        <v>1663</v>
      </c>
      <c r="H538" s="518">
        <v>4</v>
      </c>
      <c r="I538" s="227">
        <v>8.2422320665936208</v>
      </c>
      <c r="J538" s="247">
        <v>8.3607550512825206</v>
      </c>
      <c r="K538" s="330">
        <v>8.4100197322006292</v>
      </c>
      <c r="L538" s="2333">
        <v>7.3137604266762901</v>
      </c>
      <c r="M538" s="2334">
        <v>6.8193966691695103</v>
      </c>
      <c r="N538" s="1594">
        <v>7.2383199168722303</v>
      </c>
      <c r="O538" s="1464">
        <v>8.9488667854983799</v>
      </c>
      <c r="P538" s="1248">
        <v>9.0263173853518808</v>
      </c>
      <c r="Q538" s="1962">
        <v>8.9997081241629999</v>
      </c>
      <c r="R538" s="1465">
        <v>9.1167056221223906</v>
      </c>
      <c r="S538" s="923">
        <v>9.1004785678681408</v>
      </c>
      <c r="T538" s="1466">
        <v>9.1474017056694503</v>
      </c>
    </row>
    <row r="539" spans="1:20">
      <c r="A539" t="s">
        <v>1664</v>
      </c>
      <c r="B539" s="6" t="str">
        <f>HYPERLINK("http://www.ncbi.nlm.nih.gov/gene/18933", "18933")</f>
        <v>18933</v>
      </c>
      <c r="C539" s="6" t="str">
        <f>HYPERLINK("http://www.ncbi.nlm.nih.gov/gene/5396", "5396")</f>
        <v>5396</v>
      </c>
      <c r="D539" t="str">
        <f>"Prrx1"</f>
        <v>Prrx1</v>
      </c>
      <c r="E539" t="s">
        <v>1665</v>
      </c>
      <c r="F539" t="s">
        <v>1671</v>
      </c>
      <c r="H539" s="518">
        <v>4</v>
      </c>
      <c r="I539" s="247">
        <v>8.0417663166632707</v>
      </c>
      <c r="J539" s="187">
        <v>7.9365148600091002</v>
      </c>
      <c r="K539" s="97">
        <v>8.0063790939703008</v>
      </c>
      <c r="L539" s="2152">
        <v>6.40470769690147</v>
      </c>
      <c r="M539" s="1558">
        <v>6.5943978304256499</v>
      </c>
      <c r="N539" s="1649">
        <v>6.4123471614480803</v>
      </c>
      <c r="O539" s="1467">
        <v>8.9057403731786398</v>
      </c>
      <c r="P539" s="890">
        <v>8.9767310256019393</v>
      </c>
      <c r="Q539" s="2307">
        <v>8.9593308173920505</v>
      </c>
      <c r="R539" s="970">
        <v>8.9500358447883297</v>
      </c>
      <c r="S539" s="962">
        <v>8.8830661580278996</v>
      </c>
      <c r="T539" s="1468">
        <v>9.0204210083424901</v>
      </c>
    </row>
    <row r="540" spans="1:20">
      <c r="A540" t="s">
        <v>1672</v>
      </c>
      <c r="B540" s="6" t="str">
        <f>HYPERLINK("http://www.ncbi.nlm.nih.gov/gene/14586", "14586")</f>
        <v>14586</v>
      </c>
      <c r="C540" s="6" t="str">
        <f>HYPERLINK("http://www.ncbi.nlm.nih.gov/gene/2675", "2675")</f>
        <v>2675</v>
      </c>
      <c r="D540" t="str">
        <f>"Gfra2"</f>
        <v>Gfra2</v>
      </c>
      <c r="E540" t="s">
        <v>1673</v>
      </c>
      <c r="F540" t="s">
        <v>1662</v>
      </c>
      <c r="H540" s="518">
        <v>4</v>
      </c>
      <c r="I540" s="140">
        <v>6.5136798499988098</v>
      </c>
      <c r="J540" s="45">
        <v>5.89760083693273</v>
      </c>
      <c r="K540" s="205">
        <v>6.3316093640364501</v>
      </c>
      <c r="L540" s="2335">
        <v>4.1031184167153798</v>
      </c>
      <c r="M540" s="1178">
        <v>3.6909658328484398</v>
      </c>
      <c r="N540" s="1666">
        <v>3.76380338436369</v>
      </c>
      <c r="O540" s="1469">
        <v>7.3470273294136401</v>
      </c>
      <c r="P540" s="962">
        <v>7.4676722767813901</v>
      </c>
      <c r="Q540" s="2030">
        <v>7.3992173081094297</v>
      </c>
      <c r="R540" s="912">
        <v>7.4963541216951199</v>
      </c>
      <c r="S540" s="818">
        <v>7.8367701286980598</v>
      </c>
      <c r="T540" s="1470">
        <v>7.5461376964438296</v>
      </c>
    </row>
    <row r="541" spans="1:20">
      <c r="A541" t="s">
        <v>1680</v>
      </c>
      <c r="B541" s="6" t="str">
        <f>HYPERLINK("http://www.ncbi.nlm.nih.gov/gene/16952", "16952")</f>
        <v>16952</v>
      </c>
      <c r="C541" s="6" t="str">
        <f>HYPERLINK("http://www.ncbi.nlm.nih.gov/gene/301", "301")</f>
        <v>301</v>
      </c>
      <c r="D541" t="str">
        <f>"Anxa1"</f>
        <v>Anxa1</v>
      </c>
      <c r="E541" t="s">
        <v>1681</v>
      </c>
      <c r="F541" t="s">
        <v>1674</v>
      </c>
      <c r="H541" s="518">
        <v>4</v>
      </c>
      <c r="I541" s="74">
        <v>4.3229484011939299</v>
      </c>
      <c r="J541" s="74">
        <v>4.3241247565061798</v>
      </c>
      <c r="K541" s="218">
        <v>4.7408109887900096</v>
      </c>
      <c r="L541" s="2276">
        <v>3.3243719239571501</v>
      </c>
      <c r="M541" s="1701">
        <v>3.0344172537645799</v>
      </c>
      <c r="N541" s="1160">
        <v>3.3341691359167802</v>
      </c>
      <c r="O541" s="741">
        <v>5.8852005446932703</v>
      </c>
      <c r="P541" s="890">
        <v>5.6907730976925501</v>
      </c>
      <c r="Q541" s="2030">
        <v>5.5574606005532301</v>
      </c>
      <c r="R541" s="934">
        <v>5.6758045724979196</v>
      </c>
      <c r="S541" s="1170">
        <v>5.8967130636949801</v>
      </c>
      <c r="T541" s="948">
        <v>5.5840496488064204</v>
      </c>
    </row>
    <row r="542" spans="1:20">
      <c r="A542" t="s">
        <v>1675</v>
      </c>
      <c r="B542" s="6" t="str">
        <f>HYPERLINK("http://www.ncbi.nlm.nih.gov/gene/241514", "241514")</f>
        <v>241514</v>
      </c>
      <c r="C542" s="6" t="str">
        <f>HYPERLINK("http://www.ncbi.nlm.nih.gov/gene/91752", "91752")</f>
        <v>91752</v>
      </c>
      <c r="D542" t="str">
        <f>"Zfp804a"</f>
        <v>Zfp804a</v>
      </c>
      <c r="E542" t="s">
        <v>1676</v>
      </c>
      <c r="F542" t="s">
        <v>1677</v>
      </c>
      <c r="H542" s="518">
        <v>4</v>
      </c>
      <c r="I542" s="147">
        <v>3.8319133020687302</v>
      </c>
      <c r="J542" s="126">
        <v>3.4284722687573002</v>
      </c>
      <c r="K542" s="185">
        <v>3.98621790719484</v>
      </c>
      <c r="L542" s="2336">
        <v>1.80076265595031</v>
      </c>
      <c r="M542" s="1584">
        <v>2.2894155556604798</v>
      </c>
      <c r="N542" s="1317">
        <v>2.2646445364174901</v>
      </c>
      <c r="O542" s="1417">
        <v>4.7692104993767197</v>
      </c>
      <c r="P542" s="766">
        <v>4.3043472092933497</v>
      </c>
      <c r="Q542" s="2337">
        <v>4.7867218281222703</v>
      </c>
      <c r="R542" s="933">
        <v>4.6363221696070003</v>
      </c>
      <c r="S542" s="947">
        <v>4.9745474491733201</v>
      </c>
      <c r="T542" s="1231">
        <v>5.1152694213169099</v>
      </c>
    </row>
    <row r="543" spans="1:20">
      <c r="A543" t="s">
        <v>1678</v>
      </c>
      <c r="B543" s="6" t="str">
        <f>HYPERLINK("http://www.ncbi.nlm.nih.gov/gene/12767", "12767")</f>
        <v>12767</v>
      </c>
      <c r="C543" s="6" t="str">
        <f>HYPERLINK("http://www.ncbi.nlm.nih.gov/gene/7852", "7852")</f>
        <v>7852</v>
      </c>
      <c r="D543" t="str">
        <f>"Cxcr4"</f>
        <v>Cxcr4</v>
      </c>
      <c r="E543" t="s">
        <v>1679</v>
      </c>
      <c r="F543" t="s">
        <v>1682</v>
      </c>
      <c r="G543" t="s">
        <v>1683</v>
      </c>
      <c r="H543" s="518">
        <v>4</v>
      </c>
      <c r="I543" s="169">
        <v>5.8150231165300204</v>
      </c>
      <c r="J543" s="266">
        <v>5.8581778376193503</v>
      </c>
      <c r="K543" s="262">
        <v>5.7860299503379196</v>
      </c>
      <c r="L543" s="1904">
        <v>4.7641104816125903</v>
      </c>
      <c r="M543" s="1654">
        <v>4.7329920032890396</v>
      </c>
      <c r="N543" s="1021">
        <v>4.8983078336672703</v>
      </c>
      <c r="O543" s="949">
        <v>6.2475468961585596</v>
      </c>
      <c r="P543" s="934">
        <v>6.5957337997432797</v>
      </c>
      <c r="Q543" s="2196">
        <v>6.1171003590417596</v>
      </c>
      <c r="R543" s="704">
        <v>6.67671035141717</v>
      </c>
      <c r="S543" s="823">
        <v>6.9573899219062403</v>
      </c>
      <c r="T543" s="1274">
        <v>6.8707507882465499</v>
      </c>
    </row>
    <row r="544" spans="1:20">
      <c r="A544" t="s">
        <v>1684</v>
      </c>
      <c r="B544" s="6" t="str">
        <f>HYPERLINK("http://www.ncbi.nlm.nih.gov/gene/320183", "320183")</f>
        <v>320183</v>
      </c>
      <c r="C544" s="6" t="str">
        <f>HYPERLINK("http://www.ncbi.nlm.nih.gov/gene/253827", "253827")</f>
        <v>253827</v>
      </c>
      <c r="D544" t="str">
        <f>"Msrb3"</f>
        <v>Msrb3</v>
      </c>
      <c r="E544" t="s">
        <v>1700</v>
      </c>
      <c r="F544" t="s">
        <v>1685</v>
      </c>
      <c r="H544" s="518">
        <v>4</v>
      </c>
      <c r="I544" s="128">
        <v>6.8935771490913096</v>
      </c>
      <c r="J544" s="61">
        <v>6.6796341040624299</v>
      </c>
      <c r="K544" s="99">
        <v>6.9550373617210601</v>
      </c>
      <c r="L544" s="2338">
        <v>5.67537724365976</v>
      </c>
      <c r="M544" s="1671">
        <v>5.5088610650318302</v>
      </c>
      <c r="N544" s="863">
        <v>5.8802091690431899</v>
      </c>
      <c r="O544" s="1467">
        <v>8.3545666928500193</v>
      </c>
      <c r="P544" s="895">
        <v>8.3583865700634199</v>
      </c>
      <c r="Q544" s="1992">
        <v>8.3530540947405107</v>
      </c>
      <c r="R544" s="927">
        <v>8.5412386308857897</v>
      </c>
      <c r="S544" s="858">
        <v>8.8044269595812192</v>
      </c>
      <c r="T544" s="1015">
        <v>8.6933467421644703</v>
      </c>
    </row>
    <row r="545" spans="1:20">
      <c r="A545" t="s">
        <v>1686</v>
      </c>
      <c r="B545" s="6" t="str">
        <f>HYPERLINK("http://www.ncbi.nlm.nih.gov/gene/13179", "13179")</f>
        <v>13179</v>
      </c>
      <c r="C545" s="6" t="str">
        <f>HYPERLINK("http://www.ncbi.nlm.nih.gov/gene/1634", "1634")</f>
        <v>1634</v>
      </c>
      <c r="D545" t="str">
        <f>"Dcn"</f>
        <v>Dcn</v>
      </c>
      <c r="E545" t="s">
        <v>1687</v>
      </c>
      <c r="F545" t="s">
        <v>1688</v>
      </c>
      <c r="G545" t="s">
        <v>222</v>
      </c>
      <c r="H545" s="518">
        <v>4</v>
      </c>
      <c r="I545" s="114">
        <v>8.06462477701238</v>
      </c>
      <c r="J545" s="46">
        <v>8.0128748409627999</v>
      </c>
      <c r="K545" s="26">
        <v>8.2679189252767902</v>
      </c>
      <c r="L545" s="2277">
        <v>7.0257088817711004</v>
      </c>
      <c r="M545" s="1767">
        <v>7.0654895153295998</v>
      </c>
      <c r="N545" s="1327">
        <v>7.1066649682728702</v>
      </c>
      <c r="O545" s="1418">
        <v>10.4486504276995</v>
      </c>
      <c r="P545" s="973">
        <v>10.462679334230801</v>
      </c>
      <c r="Q545" s="2339">
        <v>10.5102727556069</v>
      </c>
      <c r="R545" s="1233">
        <v>11.080350083584401</v>
      </c>
      <c r="S545" s="858">
        <v>11.1283178560242</v>
      </c>
      <c r="T545" s="1023">
        <v>11.133865123558101</v>
      </c>
    </row>
    <row r="546" spans="1:20">
      <c r="A546" t="s">
        <v>1689</v>
      </c>
      <c r="B546" s="6" t="str">
        <f>HYPERLINK("http://www.ncbi.nlm.nih.gov/gene/64706", "64706")</f>
        <v>64706</v>
      </c>
      <c r="C546" s="6" t="str">
        <f>HYPERLINK("http://www.ncbi.nlm.nih.gov/gene/80274", "80274")</f>
        <v>80274</v>
      </c>
      <c r="D546" t="str">
        <f>"Scube1"</f>
        <v>Scube1</v>
      </c>
      <c r="E546" t="s">
        <v>1690</v>
      </c>
      <c r="F546" t="s">
        <v>1691</v>
      </c>
      <c r="H546" s="518">
        <v>4</v>
      </c>
      <c r="I546" s="437">
        <v>7.1381171545829698</v>
      </c>
      <c r="J546" s="163">
        <v>6.9835375531580599</v>
      </c>
      <c r="K546" s="319">
        <v>7.0662362662410096</v>
      </c>
      <c r="L546" s="2340">
        <v>5.2078603898105502</v>
      </c>
      <c r="M546" s="1688">
        <v>5.0554896128667304</v>
      </c>
      <c r="N546" s="1433">
        <v>5.0365783741455203</v>
      </c>
      <c r="O546" s="1471">
        <v>7.2347730996556798</v>
      </c>
      <c r="P546" s="750">
        <v>6.9518031085334098</v>
      </c>
      <c r="Q546" s="2293">
        <v>7.3150169235992699</v>
      </c>
      <c r="R546" s="958">
        <v>8.0173673981622997</v>
      </c>
      <c r="S546" s="947">
        <v>7.8402952459275603</v>
      </c>
      <c r="T546" s="953">
        <v>7.7033728506739303</v>
      </c>
    </row>
    <row r="547" spans="1:20">
      <c r="A547" t="s">
        <v>1692</v>
      </c>
      <c r="B547" s="6" t="str">
        <f>HYPERLINK("http://www.ncbi.nlm.nih.gov/gene/22240", "22240")</f>
        <v>22240</v>
      </c>
      <c r="C547" s="6" t="str">
        <f>HYPERLINK("http://www.ncbi.nlm.nih.gov/gene/1809", "1809")</f>
        <v>1809</v>
      </c>
      <c r="D547" t="str">
        <f>"Dpysl3"</f>
        <v>Dpysl3</v>
      </c>
      <c r="E547" t="s">
        <v>1693</v>
      </c>
      <c r="F547" t="s">
        <v>1694</v>
      </c>
      <c r="H547" s="518">
        <v>4</v>
      </c>
      <c r="I547" s="230">
        <v>8.2052709403722996</v>
      </c>
      <c r="J547" s="230">
        <v>8.2016188409851498</v>
      </c>
      <c r="K547" s="308">
        <v>8.1334917376261195</v>
      </c>
      <c r="L547" s="2341">
        <v>6.4081213610912497</v>
      </c>
      <c r="M547" s="1178">
        <v>6.4117311211805301</v>
      </c>
      <c r="N547" s="1139">
        <v>6.5119182719614797</v>
      </c>
      <c r="O547" s="1316">
        <v>8.4531614937864905</v>
      </c>
      <c r="P547" s="862">
        <v>8.5972317399083895</v>
      </c>
      <c r="Q547" s="2342">
        <v>8.5381391059254401</v>
      </c>
      <c r="R547" s="970">
        <v>8.7647798509840502</v>
      </c>
      <c r="S547" s="967">
        <v>8.8840323603478204</v>
      </c>
      <c r="T547" s="1472">
        <v>8.7355346532492</v>
      </c>
    </row>
    <row r="548" spans="1:20">
      <c r="A548" t="s">
        <v>1695</v>
      </c>
      <c r="B548" s="6" t="str">
        <f>HYPERLINK("http://www.ncbi.nlm.nih.gov/gene/268902", "268902")</f>
        <v>268902</v>
      </c>
      <c r="C548" s="6" t="str">
        <f>HYPERLINK("http://www.ncbi.nlm.nih.gov/gene/6092", "6092")</f>
        <v>6092</v>
      </c>
      <c r="D548" t="str">
        <f>"Robo2"</f>
        <v>Robo2</v>
      </c>
      <c r="E548" t="s">
        <v>1696</v>
      </c>
      <c r="F548" t="s">
        <v>1697</v>
      </c>
      <c r="G548" t="s">
        <v>604</v>
      </c>
      <c r="H548" s="518">
        <v>4</v>
      </c>
      <c r="I548" s="230">
        <v>7.9481445590883499</v>
      </c>
      <c r="J548" s="365">
        <v>7.8903738774198802</v>
      </c>
      <c r="K548" s="63">
        <v>7.8153430167780398</v>
      </c>
      <c r="L548" s="2156">
        <v>6.4625705554361099</v>
      </c>
      <c r="M548" s="1822">
        <v>6.1293060514588298</v>
      </c>
      <c r="N548" s="1169">
        <v>6.3716062720097097</v>
      </c>
      <c r="O548" s="922">
        <v>8.2596875685848801</v>
      </c>
      <c r="P548" s="775">
        <v>8.2453170486271397</v>
      </c>
      <c r="Q548" s="2342">
        <v>8.2623070081212795</v>
      </c>
      <c r="R548" s="634">
        <v>8.6949331603405309</v>
      </c>
      <c r="S548" s="1465">
        <v>8.5229032632390194</v>
      </c>
      <c r="T548" s="1473">
        <v>8.3586532292564009</v>
      </c>
    </row>
    <row r="549" spans="1:20">
      <c r="A549" t="s">
        <v>1698</v>
      </c>
      <c r="B549" s="6" t="str">
        <f>HYPERLINK("http://www.ncbi.nlm.nih.gov/gene/232441", "232441")</f>
        <v>232441</v>
      </c>
      <c r="C549" s="6" t="str">
        <f>HYPERLINK("http://www.ncbi.nlm.nih.gov/gene/85004", "85004")</f>
        <v>85004</v>
      </c>
      <c r="D549" t="str">
        <f>"Rerg"</f>
        <v>Rerg</v>
      </c>
      <c r="E549" t="s">
        <v>1699</v>
      </c>
      <c r="F549" t="s">
        <v>1701</v>
      </c>
      <c r="H549" s="518">
        <v>4</v>
      </c>
      <c r="I549" s="351">
        <v>7.3097783249539798</v>
      </c>
      <c r="J549" s="170">
        <v>7.2184894527126797</v>
      </c>
      <c r="K549" s="365">
        <v>7.3247824248097899</v>
      </c>
      <c r="L549" s="2343">
        <v>6.1945045099496401</v>
      </c>
      <c r="M549" s="727">
        <v>6.3338765186924197</v>
      </c>
      <c r="N549" s="1724">
        <v>5.9765897517011197</v>
      </c>
      <c r="O549" s="949">
        <v>7.4725511126105397</v>
      </c>
      <c r="P549" s="757">
        <v>7.5115615748283897</v>
      </c>
      <c r="Q549" s="2020">
        <v>7.6212355079108196</v>
      </c>
      <c r="R549" s="1248">
        <v>7.7296774838074498</v>
      </c>
      <c r="S549" s="742">
        <v>8.0282706196717797</v>
      </c>
      <c r="T549" s="964">
        <v>7.8704015701563099</v>
      </c>
    </row>
    <row r="550" spans="1:20">
      <c r="A550" t="s">
        <v>1702</v>
      </c>
      <c r="B550" s="6" t="str">
        <f>HYPERLINK("http://www.ncbi.nlm.nih.gov/gene/70417", "70417")</f>
        <v>70417</v>
      </c>
      <c r="C550" s="6" t="str">
        <f>HYPERLINK("http://www.ncbi.nlm.nih.gov/gene/84466", "84466")</f>
        <v>84466</v>
      </c>
      <c r="D550" t="str">
        <f>"Megf10"</f>
        <v>Megf10</v>
      </c>
      <c r="E550" t="s">
        <v>1703</v>
      </c>
      <c r="F550" t="s">
        <v>1704</v>
      </c>
      <c r="H550" s="518">
        <v>4</v>
      </c>
      <c r="I550" s="348">
        <v>5.5643094577227403</v>
      </c>
      <c r="J550" s="31">
        <v>5.0353604299954098</v>
      </c>
      <c r="K550" s="227">
        <v>4.9310517057417496</v>
      </c>
      <c r="L550" s="2335">
        <v>3.8689773430354299</v>
      </c>
      <c r="M550" s="1709">
        <v>3.5600601449495501</v>
      </c>
      <c r="N550" s="1649">
        <v>3.6897809490380702</v>
      </c>
      <c r="O550" s="1474">
        <v>5.7479108700633104</v>
      </c>
      <c r="P550" s="1248">
        <v>5.7650374030818003</v>
      </c>
      <c r="Q550" s="2344">
        <v>5.7893523084493896</v>
      </c>
      <c r="R550" s="962">
        <v>5.7596344480603303</v>
      </c>
      <c r="S550" s="1429">
        <v>5.6584140666531999</v>
      </c>
      <c r="T550" s="1455">
        <v>5.7819645700426596</v>
      </c>
    </row>
    <row r="551" spans="1:20">
      <c r="A551" t="s">
        <v>1705</v>
      </c>
      <c r="B551" s="6" t="str">
        <f>HYPERLINK("http://www.ncbi.nlm.nih.gov/gene/11475", "11475")</f>
        <v>11475</v>
      </c>
      <c r="C551" s="6" t="str">
        <f>HYPERLINK("http://www.ncbi.nlm.nih.gov/gene/59", "59")</f>
        <v>59</v>
      </c>
      <c r="D551" t="str">
        <f>"Acta2"</f>
        <v>Acta2</v>
      </c>
      <c r="E551" t="s">
        <v>1706</v>
      </c>
      <c r="F551" t="s">
        <v>1707</v>
      </c>
      <c r="G551" t="s">
        <v>159</v>
      </c>
      <c r="H551" s="518">
        <v>4</v>
      </c>
      <c r="I551" s="480">
        <v>9.6185342211336398</v>
      </c>
      <c r="J551" s="308">
        <v>9.5696006699507592</v>
      </c>
      <c r="K551" s="247">
        <v>9.3190478528572207</v>
      </c>
      <c r="L551" s="2335">
        <v>7.5610577076254604</v>
      </c>
      <c r="M551" s="1445">
        <v>7.5077957047521302</v>
      </c>
      <c r="N551" s="2345">
        <v>6.8544446611473697</v>
      </c>
      <c r="O551" s="1245">
        <v>10.572301235322399</v>
      </c>
      <c r="P551" s="1475">
        <v>10.403913183165599</v>
      </c>
      <c r="Q551" s="2346">
        <v>10.4004035829151</v>
      </c>
      <c r="R551" s="1457">
        <v>10.272911749406701</v>
      </c>
      <c r="S551" s="952">
        <v>10.1929408383001</v>
      </c>
      <c r="T551" s="759">
        <v>10.1847210648871</v>
      </c>
    </row>
    <row r="552" spans="1:20">
      <c r="A552" t="s">
        <v>1708</v>
      </c>
      <c r="B552" s="6" t="str">
        <f>HYPERLINK("http://www.ncbi.nlm.nih.gov/gene/22160", "22160")</f>
        <v>22160</v>
      </c>
      <c r="C552" s="6" t="str">
        <f>HYPERLINK("http://www.ncbi.nlm.nih.gov/gene/7291", "7291")</f>
        <v>7291</v>
      </c>
      <c r="D552" t="str">
        <f>"Twist1"</f>
        <v>Twist1</v>
      </c>
      <c r="E552" t="s">
        <v>1709</v>
      </c>
      <c r="F552" t="s">
        <v>1710</v>
      </c>
      <c r="H552" s="518">
        <v>4</v>
      </c>
      <c r="I552" s="314">
        <v>7.1975893637189001</v>
      </c>
      <c r="J552" s="269">
        <v>7.0723185471395498</v>
      </c>
      <c r="K552" s="344">
        <v>7.1725766541512996</v>
      </c>
      <c r="L552" s="2119">
        <v>6.1108926320649504</v>
      </c>
      <c r="M552" s="1704">
        <v>5.5864010351776097</v>
      </c>
      <c r="N552" s="1144">
        <v>5.9882386417514297</v>
      </c>
      <c r="O552" s="1416">
        <v>7.4992289962337004</v>
      </c>
      <c r="P552" s="704">
        <v>7.69760049549937</v>
      </c>
      <c r="Q552" s="1978">
        <v>7.3724725135191296</v>
      </c>
      <c r="R552" s="901">
        <v>7.4069642861756799</v>
      </c>
      <c r="S552" s="848">
        <v>7.6828328455478996</v>
      </c>
      <c r="T552" s="1472">
        <v>7.5949719089549799</v>
      </c>
    </row>
    <row r="553" spans="1:20">
      <c r="A553" t="s">
        <v>1730</v>
      </c>
      <c r="B553" s="6" t="str">
        <f>HYPERLINK("http://www.ncbi.nlm.nih.gov/gene/56177", "56177")</f>
        <v>56177</v>
      </c>
      <c r="C553" s="6" t="str">
        <f>HYPERLINK("http://www.ncbi.nlm.nih.gov/gene/10439", "10439")</f>
        <v>10439</v>
      </c>
      <c r="D553" t="str">
        <f>"Olfm1"</f>
        <v>Olfm1</v>
      </c>
      <c r="E553" t="s">
        <v>1731</v>
      </c>
      <c r="F553" t="s">
        <v>1732</v>
      </c>
      <c r="H553" s="518">
        <v>4</v>
      </c>
      <c r="I553" s="259">
        <v>6.2489443306527104</v>
      </c>
      <c r="J553" s="31">
        <v>5.99881430011897</v>
      </c>
      <c r="K553" s="474">
        <v>6.3076535100037301</v>
      </c>
      <c r="L553" s="2347">
        <v>4.4081331434377899</v>
      </c>
      <c r="M553" s="1646">
        <v>4.9397129620210496</v>
      </c>
      <c r="N553" s="1665">
        <v>4.5715998192440201</v>
      </c>
      <c r="O553" s="1476">
        <v>7.2269793739328403</v>
      </c>
      <c r="P553" s="1248">
        <v>6.7547926179808604</v>
      </c>
      <c r="Q553" s="2348">
        <v>6.88418135796862</v>
      </c>
      <c r="R553" s="824">
        <v>6.4063697558739703</v>
      </c>
      <c r="S553" s="801">
        <v>6.5171800154243202</v>
      </c>
      <c r="T553" s="1477">
        <v>6.4535733513587701</v>
      </c>
    </row>
    <row r="554" spans="1:20">
      <c r="A554" t="s">
        <v>1733</v>
      </c>
      <c r="B554" s="6" t="str">
        <f>HYPERLINK("http://www.ncbi.nlm.nih.gov/gene/18216", "18216")</f>
        <v>18216</v>
      </c>
      <c r="C554" s="6" t="str">
        <f>HYPERLINK("http://www.ncbi.nlm.nih.gov/gene/4923", "4923")</f>
        <v>4923</v>
      </c>
      <c r="D554" t="str">
        <f>"Ntsr1"</f>
        <v>Ntsr1</v>
      </c>
      <c r="E554" t="s">
        <v>1734</v>
      </c>
      <c r="F554" t="s">
        <v>1711</v>
      </c>
      <c r="G554" t="s">
        <v>69</v>
      </c>
      <c r="H554" s="518">
        <v>4</v>
      </c>
      <c r="I554" s="427">
        <v>5.58755086140442</v>
      </c>
      <c r="J554" s="345">
        <v>5.3549879752316496</v>
      </c>
      <c r="K554" s="276">
        <v>5.9248203137428499</v>
      </c>
      <c r="L554" s="1961">
        <v>4.1440397433762399</v>
      </c>
      <c r="M554" s="1826">
        <v>4.0446035084501997</v>
      </c>
      <c r="N554" s="1649">
        <v>4.0879669078208698</v>
      </c>
      <c r="O554" s="1410">
        <v>6.2754119166044804</v>
      </c>
      <c r="P554" s="981">
        <v>6.2699365670731</v>
      </c>
      <c r="Q554" s="2337">
        <v>6.2117297664800404</v>
      </c>
      <c r="R554" s="887">
        <v>5.8075261483238503</v>
      </c>
      <c r="S554" s="842">
        <v>6.0769576528708402</v>
      </c>
      <c r="T554" s="1478">
        <v>6.1196174525460103</v>
      </c>
    </row>
    <row r="555" spans="1:20">
      <c r="A555" t="s">
        <v>1712</v>
      </c>
      <c r="B555" s="6" t="str">
        <f>HYPERLINK("http://www.ncbi.nlm.nih.gov/gene/99543", "99543")</f>
        <v>99543</v>
      </c>
      <c r="C555" s="6" t="str">
        <f>HYPERLINK("http://www.ncbi.nlm.nih.gov/gene/56944", "56944")</f>
        <v>56944</v>
      </c>
      <c r="D555" t="str">
        <f>"Olfml3"</f>
        <v>Olfml3</v>
      </c>
      <c r="E555" t="s">
        <v>1713</v>
      </c>
      <c r="F555" t="s">
        <v>1714</v>
      </c>
      <c r="H555" s="518">
        <v>4</v>
      </c>
      <c r="I555" s="82">
        <v>7.3614019586103003</v>
      </c>
      <c r="J555" s="170">
        <v>7.3827359543766997</v>
      </c>
      <c r="K555" s="427">
        <v>7.47545612039319</v>
      </c>
      <c r="L555" s="2340">
        <v>6.0206647259268804</v>
      </c>
      <c r="M555" s="1709">
        <v>5.7871006506734703</v>
      </c>
      <c r="N555" s="1445">
        <v>6.0626393984989804</v>
      </c>
      <c r="O555" s="1479">
        <v>8.3690842880685601</v>
      </c>
      <c r="P555" s="885">
        <v>8.2604401489943502</v>
      </c>
      <c r="Q555" s="2005">
        <v>8.2132213187522503</v>
      </c>
      <c r="R555" s="875">
        <v>7.8111497542013097</v>
      </c>
      <c r="S555" s="1250">
        <v>7.8909451271992497</v>
      </c>
      <c r="T555" s="1480">
        <v>7.8842792866623901</v>
      </c>
    </row>
    <row r="556" spans="1:20">
      <c r="A556" t="s">
        <v>1715</v>
      </c>
      <c r="B556" s="6" t="str">
        <f>HYPERLINK("http://www.ncbi.nlm.nih.gov/gene/21923", "21923")</f>
        <v>21923</v>
      </c>
      <c r="C556" s="6" t="str">
        <f>HYPERLINK("http://www.ncbi.nlm.nih.gov/gene/3371", "3371")</f>
        <v>3371</v>
      </c>
      <c r="D556" t="str">
        <f>"Tnc"</f>
        <v>Tnc</v>
      </c>
      <c r="E556" t="s">
        <v>1716</v>
      </c>
      <c r="F556" t="s">
        <v>1717</v>
      </c>
      <c r="G556" t="s">
        <v>505</v>
      </c>
      <c r="H556" s="518">
        <v>4</v>
      </c>
      <c r="I556" s="192">
        <v>6.26221978119748</v>
      </c>
      <c r="J556" s="42">
        <v>6.0867835174680698</v>
      </c>
      <c r="K556" s="148">
        <v>6.0248764467179496</v>
      </c>
      <c r="L556" s="2155">
        <v>4.7559777465354802</v>
      </c>
      <c r="M556" s="1717">
        <v>4.31972231581216</v>
      </c>
      <c r="N556" s="1169">
        <v>4.3052721127160103</v>
      </c>
      <c r="O556" s="861">
        <v>7.7821693152146203</v>
      </c>
      <c r="P556" s="714">
        <v>8.1126853050927998</v>
      </c>
      <c r="Q556" s="2349">
        <v>8.0849456123876209</v>
      </c>
      <c r="R556" s="757">
        <v>7.0164846975891999</v>
      </c>
      <c r="S556" s="905">
        <v>7.2259946318051202</v>
      </c>
      <c r="T556" s="940">
        <v>7.0484522353745298</v>
      </c>
    </row>
    <row r="557" spans="1:20">
      <c r="A557" t="s">
        <v>1718</v>
      </c>
      <c r="B557" s="6" t="str">
        <f>HYPERLINK("http://www.ncbi.nlm.nih.gov/gene/12797", "12797")</f>
        <v>12797</v>
      </c>
      <c r="C557" s="6" t="str">
        <f>HYPERLINK("http://www.ncbi.nlm.nih.gov/gene/1264", "1264")</f>
        <v>1264</v>
      </c>
      <c r="D557" t="str">
        <f>"Cnn1"</f>
        <v>Cnn1</v>
      </c>
      <c r="E557" t="s">
        <v>1719</v>
      </c>
      <c r="F557" t="s">
        <v>1720</v>
      </c>
      <c r="H557" s="518">
        <v>4</v>
      </c>
      <c r="I557" s="176">
        <v>4.3150752352584298</v>
      </c>
      <c r="J557" s="155">
        <v>4.2623410961933796</v>
      </c>
      <c r="K557" s="38">
        <v>4.3580445490569204</v>
      </c>
      <c r="L557" s="1925">
        <v>3.2526952452714801</v>
      </c>
      <c r="M557" s="1649">
        <v>2.8670305546471</v>
      </c>
      <c r="N557" s="1558">
        <v>3.03657739405956</v>
      </c>
      <c r="O557" s="1481">
        <v>5.8674402573113298</v>
      </c>
      <c r="P557" s="958">
        <v>5.5868313319046496</v>
      </c>
      <c r="Q557" s="2349">
        <v>5.6655248553536302</v>
      </c>
      <c r="R557" s="1271">
        <v>4.7280250095762</v>
      </c>
      <c r="S557" s="816">
        <v>4.8720854520889496</v>
      </c>
      <c r="T557" s="1482">
        <v>4.6223162348140301</v>
      </c>
    </row>
    <row r="558" spans="1:20">
      <c r="A558" t="s">
        <v>1721</v>
      </c>
      <c r="B558" s="6" t="str">
        <f>HYPERLINK("http://www.ncbi.nlm.nih.gov/gene/21345", "21345")</f>
        <v>21345</v>
      </c>
      <c r="C558" s="6" t="str">
        <f>HYPERLINK("http://www.ncbi.nlm.nih.gov/gene/6876", "6876")</f>
        <v>6876</v>
      </c>
      <c r="D558" t="str">
        <f>"Tagln"</f>
        <v>Tagln</v>
      </c>
      <c r="E558" t="s">
        <v>1722</v>
      </c>
      <c r="F558" t="s">
        <v>1723</v>
      </c>
      <c r="H558" s="518">
        <v>4</v>
      </c>
      <c r="I558" s="205">
        <v>6.2490936137778101</v>
      </c>
      <c r="J558" s="218">
        <v>6.1799196928679301</v>
      </c>
      <c r="K558" s="42">
        <v>5.9777998321583699</v>
      </c>
      <c r="L558" s="1901">
        <v>5.0415870943252301</v>
      </c>
      <c r="M558" s="1550">
        <v>5.0951733783420297</v>
      </c>
      <c r="N558" s="1704">
        <v>4.0703377428210903</v>
      </c>
      <c r="O558" s="1483">
        <v>7.3458438599096398</v>
      </c>
      <c r="P558" s="1250">
        <v>6.7875793862707701</v>
      </c>
      <c r="Q558" s="2350">
        <v>6.9258977338102001</v>
      </c>
      <c r="R558" s="1082">
        <v>7.32576714184182</v>
      </c>
      <c r="S558" s="1485">
        <v>6.7417574267375402</v>
      </c>
      <c r="T558" s="1486">
        <v>6.8764584238120401</v>
      </c>
    </row>
    <row r="559" spans="1:20">
      <c r="A559" t="s">
        <v>1724</v>
      </c>
      <c r="B559" s="6" t="str">
        <f>HYPERLINK("http://www.ncbi.nlm.nih.gov/gene/23972", "23972")</f>
        <v>23972</v>
      </c>
      <c r="C559" s="6" t="str">
        <f>HYPERLINK("http://www.ncbi.nlm.nih.gov/gene/9060", "9060")</f>
        <v>9060</v>
      </c>
      <c r="D559" t="str">
        <f>"Papss2"</f>
        <v>Papss2</v>
      </c>
      <c r="E559" t="s">
        <v>1725</v>
      </c>
      <c r="F559" t="s">
        <v>1726</v>
      </c>
      <c r="G559" t="s">
        <v>1727</v>
      </c>
      <c r="H559" s="518">
        <v>4</v>
      </c>
      <c r="I559" s="441">
        <v>6.8286003167469698</v>
      </c>
      <c r="J559" s="373">
        <v>6.3989456435190997</v>
      </c>
      <c r="K559" s="395">
        <v>6.6379452069376104</v>
      </c>
      <c r="L559" s="2351">
        <v>5.0714671772553697</v>
      </c>
      <c r="M559" s="1804">
        <v>4.9067192595952802</v>
      </c>
      <c r="N559" s="1653">
        <v>5.1696134646569503</v>
      </c>
      <c r="O559" s="1331">
        <v>6.2557567226503501</v>
      </c>
      <c r="P559" s="838">
        <v>6.2064490788909401</v>
      </c>
      <c r="Q559" s="2272">
        <v>6.1155595334316404</v>
      </c>
      <c r="R559" s="825">
        <v>6.4029892245253501</v>
      </c>
      <c r="S559" s="970">
        <v>6.6183858977145</v>
      </c>
      <c r="T559" s="1487">
        <v>6.4181403807082402</v>
      </c>
    </row>
    <row r="560" spans="1:20">
      <c r="A560" t="s">
        <v>1728</v>
      </c>
      <c r="B560" s="6" t="str">
        <f>HYPERLINK("http://www.ncbi.nlm.nih.gov/gene/22418", "22418")</f>
        <v>22418</v>
      </c>
      <c r="C560" s="6" t="str">
        <f>HYPERLINK("http://www.ncbi.nlm.nih.gov/gene/7474", "7474")</f>
        <v>7474</v>
      </c>
      <c r="D560" t="str">
        <f>"Wnt5a"</f>
        <v>Wnt5a</v>
      </c>
      <c r="E560" t="s">
        <v>1729</v>
      </c>
      <c r="F560" t="s">
        <v>1735</v>
      </c>
      <c r="G560" t="s">
        <v>252</v>
      </c>
      <c r="H560" s="518">
        <v>4</v>
      </c>
      <c r="I560" s="369">
        <v>7.5003724779137704</v>
      </c>
      <c r="J560" s="380">
        <v>7.4202431767026704</v>
      </c>
      <c r="K560" s="414">
        <v>7.44612891105219</v>
      </c>
      <c r="L560" s="2352">
        <v>5.2392061803125101</v>
      </c>
      <c r="M560" s="1729">
        <v>5.4773071119016903</v>
      </c>
      <c r="N560" s="727">
        <v>5.6989546258643999</v>
      </c>
      <c r="O560" s="1382">
        <v>6.7335399057818801</v>
      </c>
      <c r="P560" s="805">
        <v>6.8913229344092697</v>
      </c>
      <c r="Q560" s="2228">
        <v>6.8953929540495498</v>
      </c>
      <c r="R560" s="912">
        <v>7.4010085265049899</v>
      </c>
      <c r="S560" s="946">
        <v>7.2758323535706504</v>
      </c>
      <c r="T560" s="1488">
        <v>7.2136245600954698</v>
      </c>
    </row>
    <row r="561" spans="1:20">
      <c r="A561" t="s">
        <v>1753</v>
      </c>
      <c r="B561" s="6" t="str">
        <f>HYPERLINK("http://www.ncbi.nlm.nih.gov/gene/12291", "12291")</f>
        <v>12291</v>
      </c>
      <c r="C561" s="6" t="str">
        <f>HYPERLINK("http://www.ncbi.nlm.nih.gov/gene/8913", "8913")</f>
        <v>8913</v>
      </c>
      <c r="D561" t="str">
        <f>"Cacna1g"</f>
        <v>Cacna1g</v>
      </c>
      <c r="E561" t="s">
        <v>1754</v>
      </c>
      <c r="F561" t="s">
        <v>1736</v>
      </c>
      <c r="G561" t="s">
        <v>1737</v>
      </c>
      <c r="H561" s="518">
        <v>4</v>
      </c>
      <c r="I561" s="500">
        <v>7.2919256980870504</v>
      </c>
      <c r="J561" s="437">
        <v>6.9611340374782102</v>
      </c>
      <c r="K561" s="504">
        <v>7.24005967329669</v>
      </c>
      <c r="L561" s="2338">
        <v>5.4381599456696899</v>
      </c>
      <c r="M561" s="1693">
        <v>5.1290035109029102</v>
      </c>
      <c r="N561" s="1807">
        <v>5.0992459620490198</v>
      </c>
      <c r="O561" s="969">
        <v>6.8617404243892004</v>
      </c>
      <c r="P561" s="763">
        <v>7.0002350476014001</v>
      </c>
      <c r="Q561" s="2353">
        <v>6.9754465373590699</v>
      </c>
      <c r="R561" s="1489">
        <v>7.6470870391093602</v>
      </c>
      <c r="S561" s="1485">
        <v>7.1352829645209699</v>
      </c>
      <c r="T561" s="1490">
        <v>7.2989476892262397</v>
      </c>
    </row>
    <row r="562" spans="1:20">
      <c r="A562" t="s">
        <v>1738</v>
      </c>
      <c r="B562" s="6" t="str">
        <f>HYPERLINK("http://www.ncbi.nlm.nih.gov/gene/55983", "55983")</f>
        <v>55983</v>
      </c>
      <c r="C562" s="6" t="str">
        <f>HYPERLINK("http://www.ncbi.nlm.nih.gov/gene/23024", "23024")</f>
        <v>23024</v>
      </c>
      <c r="D562" t="str">
        <f>"Pdzrn3"</f>
        <v>Pdzrn3</v>
      </c>
      <c r="E562" t="s">
        <v>1739</v>
      </c>
      <c r="F562" t="s">
        <v>1740</v>
      </c>
      <c r="H562" s="518">
        <v>4</v>
      </c>
      <c r="I562" s="298">
        <v>7.1798182547787599</v>
      </c>
      <c r="J562" s="249">
        <v>6.8774985132993098</v>
      </c>
      <c r="K562" s="326">
        <v>7.0350825968191097</v>
      </c>
      <c r="L562" s="2354">
        <v>5.7347727773824602</v>
      </c>
      <c r="M562" s="1709">
        <v>5.71759267949865</v>
      </c>
      <c r="N562" s="1620">
        <v>5.8820812863419301</v>
      </c>
      <c r="O562" s="878">
        <v>6.9973806710478099</v>
      </c>
      <c r="P562" s="956">
        <v>7.1062101775301398</v>
      </c>
      <c r="Q562" s="2016">
        <v>7.10629405191498</v>
      </c>
      <c r="R562" s="927">
        <v>7.3302060737518397</v>
      </c>
      <c r="S562" s="974">
        <v>7.18021641362634</v>
      </c>
      <c r="T562" s="1491">
        <v>7.1273652317312202</v>
      </c>
    </row>
    <row r="563" spans="1:20">
      <c r="A563" t="s">
        <v>1741</v>
      </c>
      <c r="B563" s="6" t="str">
        <f>HYPERLINK("http://www.ncbi.nlm.nih.gov/gene/20257", "20257")</f>
        <v>20257</v>
      </c>
      <c r="C563" s="6" t="str">
        <f>HYPERLINK("http://www.ncbi.nlm.nih.gov/gene/11075", "11075")</f>
        <v>11075</v>
      </c>
      <c r="D563" t="str">
        <f>"Stmn2"</f>
        <v>Stmn2</v>
      </c>
      <c r="E563" t="s">
        <v>1742</v>
      </c>
      <c r="F563" t="s">
        <v>1743</v>
      </c>
      <c r="H563" s="518">
        <v>4</v>
      </c>
      <c r="I563" s="500">
        <v>6.3774593280378404</v>
      </c>
      <c r="J563" s="393">
        <v>6.3120405599486302</v>
      </c>
      <c r="K563" s="49">
        <v>6.4925960742091204</v>
      </c>
      <c r="L563" s="2276">
        <v>4.45939628893899</v>
      </c>
      <c r="M563" s="1671">
        <v>4.3099548631282296</v>
      </c>
      <c r="N563" s="1722">
        <v>3.8822616844578799</v>
      </c>
      <c r="O563" s="1263">
        <v>6.071356587196</v>
      </c>
      <c r="P563" s="1485">
        <v>6.2192722847338704</v>
      </c>
      <c r="Q563" s="2274">
        <v>5.5669793148268196</v>
      </c>
      <c r="R563" s="1457">
        <v>6.3841858499809598</v>
      </c>
      <c r="S563" s="862">
        <v>6.3377152483211399</v>
      </c>
      <c r="T563" s="1492">
        <v>6.3342120207787502</v>
      </c>
    </row>
    <row r="564" spans="1:20">
      <c r="A564" t="s">
        <v>1744</v>
      </c>
      <c r="B564" s="6" t="str">
        <f>HYPERLINK("http://www.ncbi.nlm.nih.gov/gene/109828", "109828")</f>
        <v>109828</v>
      </c>
      <c r="C564" s="6" t="str">
        <f>HYPERLINK("http://www.ncbi.nlm.nih.gov/gene/730", "730")</f>
        <v>730</v>
      </c>
      <c r="D564" t="str">
        <f>"C7"</f>
        <v>C7</v>
      </c>
      <c r="E564" t="s">
        <v>1745</v>
      </c>
      <c r="F564" t="s">
        <v>1746</v>
      </c>
      <c r="G564" t="s">
        <v>1747</v>
      </c>
      <c r="H564" s="518">
        <v>4</v>
      </c>
      <c r="I564" s="434">
        <v>5.4874504139712101</v>
      </c>
      <c r="J564" s="282">
        <v>5.4009585917541001</v>
      </c>
      <c r="K564" s="336">
        <v>5.7497408806055201</v>
      </c>
      <c r="L564" s="2351">
        <v>3.4033406851405901</v>
      </c>
      <c r="M564" s="2303">
        <v>3.2535655380200201</v>
      </c>
      <c r="N564" s="1643">
        <v>3.3828169550801199</v>
      </c>
      <c r="O564" s="1394">
        <v>5.36343339540276</v>
      </c>
      <c r="P564" s="766">
        <v>5.4753460250282098</v>
      </c>
      <c r="Q564" s="2178">
        <v>5.07892375054164</v>
      </c>
      <c r="R564" s="951">
        <v>5.7417344197187301</v>
      </c>
      <c r="S564" s="1182">
        <v>6.15360965819682</v>
      </c>
      <c r="T564" s="964">
        <v>6.0891841326110203</v>
      </c>
    </row>
    <row r="565" spans="1:20">
      <c r="A565" t="s">
        <v>1748</v>
      </c>
      <c r="B565" s="6" t="str">
        <f>HYPERLINK("http://www.ncbi.nlm.nih.gov/gene/18389", "18389")</f>
        <v>18389</v>
      </c>
      <c r="C565" s="6" t="str">
        <f>HYPERLINK("http://www.ncbi.nlm.nih.gov/gene/4987", "4987")</f>
        <v>4987</v>
      </c>
      <c r="D565" t="str">
        <f>"Oprl1"</f>
        <v>Oprl1</v>
      </c>
      <c r="E565" t="s">
        <v>1749</v>
      </c>
      <c r="F565" t="s">
        <v>1750</v>
      </c>
      <c r="G565" t="s">
        <v>106</v>
      </c>
      <c r="H565" s="518">
        <v>4</v>
      </c>
      <c r="I565" s="403">
        <v>5.38190848985177</v>
      </c>
      <c r="J565" s="373">
        <v>5.2233206922225799</v>
      </c>
      <c r="K565" s="451">
        <v>5.3281104700649298</v>
      </c>
      <c r="L565" s="2355">
        <v>3.9650999226127701</v>
      </c>
      <c r="M565" s="610">
        <v>4.7113231029028997</v>
      </c>
      <c r="N565" s="1790">
        <v>4.0833613769475203</v>
      </c>
      <c r="O565" s="1331">
        <v>5.1167361646319804</v>
      </c>
      <c r="P565" s="705">
        <v>4.8901208711912396</v>
      </c>
      <c r="Q565" s="2223">
        <v>4.85742685565834</v>
      </c>
      <c r="R565" s="895">
        <v>5.3754792135447298</v>
      </c>
      <c r="S565" s="979">
        <v>5.4954108969296804</v>
      </c>
      <c r="T565" s="1493">
        <v>5.3937523864004699</v>
      </c>
    </row>
    <row r="566" spans="1:20">
      <c r="A566" t="s">
        <v>1751</v>
      </c>
      <c r="B566" s="6" t="str">
        <f>HYPERLINK("http://www.ncbi.nlm.nih.gov/gene/14681", "14681")</f>
        <v>14681</v>
      </c>
      <c r="C566" s="6" t="str">
        <f>HYPERLINK("http://www.ncbi.nlm.nih.gov/gene/2775", "2775")</f>
        <v>2775</v>
      </c>
      <c r="D566" t="str">
        <f>"Gnao1"</f>
        <v>Gnao1</v>
      </c>
      <c r="E566" t="s">
        <v>1752</v>
      </c>
      <c r="F566" t="s">
        <v>1755</v>
      </c>
      <c r="G566" t="s">
        <v>1756</v>
      </c>
      <c r="H566" s="518">
        <v>4</v>
      </c>
      <c r="I566" s="494">
        <v>6.5614006883130402</v>
      </c>
      <c r="J566" s="219">
        <v>6.2260016022569404</v>
      </c>
      <c r="K566" s="395">
        <v>6.58685161530392</v>
      </c>
      <c r="L566" s="2356">
        <v>5.3997014290410101</v>
      </c>
      <c r="M566" s="1167">
        <v>5.6261199883517596</v>
      </c>
      <c r="N566" s="1701">
        <v>5.3489634538134103</v>
      </c>
      <c r="O566" s="1494">
        <v>6.11402654450524</v>
      </c>
      <c r="P566" s="1291">
        <v>5.9967512890498398</v>
      </c>
      <c r="Q566" s="2180">
        <v>6.0822382325604298</v>
      </c>
      <c r="R566" s="603">
        <v>6.9908234703755303</v>
      </c>
      <c r="S566" s="899">
        <v>6.4471592455369198</v>
      </c>
      <c r="T566" s="1495">
        <v>6.5466939423570096</v>
      </c>
    </row>
    <row r="567" spans="1:20">
      <c r="A567" t="s">
        <v>1757</v>
      </c>
      <c r="B567" s="6" t="str">
        <f>HYPERLINK("http://www.ncbi.nlm.nih.gov/gene/14456", "14456")</f>
        <v>14456</v>
      </c>
      <c r="C567" s="6" t="str">
        <f>HYPERLINK("http://www.ncbi.nlm.nih.gov/gene/2621", "2621")</f>
        <v>2621</v>
      </c>
      <c r="D567" t="str">
        <f>"Gas6"</f>
        <v>Gas6</v>
      </c>
      <c r="E567" t="s">
        <v>1758</v>
      </c>
      <c r="F567" t="s">
        <v>1759</v>
      </c>
      <c r="H567" s="518">
        <v>4</v>
      </c>
      <c r="I567" s="49">
        <v>7.7156490765578596</v>
      </c>
      <c r="J567" s="377">
        <v>7.5630800616195302</v>
      </c>
      <c r="K567" s="276">
        <v>7.53588874428615</v>
      </c>
      <c r="L567" s="2271">
        <v>6.5843211404016397</v>
      </c>
      <c r="M567" s="1646">
        <v>6.5488500146330901</v>
      </c>
      <c r="N567" s="1694">
        <v>6.2735648763007301</v>
      </c>
      <c r="O567" s="1075">
        <v>6.9127561389771399</v>
      </c>
      <c r="P567" s="550">
        <v>7.1289400337539703</v>
      </c>
      <c r="Q567" s="2257">
        <v>7.1020340202639503</v>
      </c>
      <c r="R567" s="1496">
        <v>8.0151925247609608</v>
      </c>
      <c r="S567" s="1246">
        <v>7.7959220797873696</v>
      </c>
      <c r="T567" s="1015">
        <v>7.8460167106018304</v>
      </c>
    </row>
    <row r="568" spans="1:20">
      <c r="A568" t="s">
        <v>1790</v>
      </c>
      <c r="B568" s="6" t="str">
        <f>HYPERLINK("http://www.ncbi.nlm.nih.gov/gene/78892", "78892")</f>
        <v>78892</v>
      </c>
      <c r="C568" s="6" t="str">
        <f>HYPERLINK("http://www.ncbi.nlm.nih.gov/gene/83716", "83716")</f>
        <v>83716</v>
      </c>
      <c r="D568" t="str">
        <f>"Crispld2"</f>
        <v>Crispld2</v>
      </c>
      <c r="E568" t="s">
        <v>1791</v>
      </c>
      <c r="F568" t="s">
        <v>1792</v>
      </c>
      <c r="H568" s="518">
        <v>4</v>
      </c>
      <c r="I568" s="359">
        <v>7.1608712132718502</v>
      </c>
      <c r="J568" s="418">
        <v>7.1193948679171397</v>
      </c>
      <c r="K568" s="356">
        <v>7.0259828497636097</v>
      </c>
      <c r="L568" s="2301">
        <v>4.8729786901291403</v>
      </c>
      <c r="M568" s="1671">
        <v>4.9134331076417501</v>
      </c>
      <c r="N568" s="1820">
        <v>4.8540669008022999</v>
      </c>
      <c r="O568" s="1373">
        <v>6.3350091987270298</v>
      </c>
      <c r="P568" s="700">
        <v>6.2248134256033598</v>
      </c>
      <c r="Q568" s="2226">
        <v>6.3385519002202999</v>
      </c>
      <c r="R568" s="979">
        <v>7.3772440943114903</v>
      </c>
      <c r="S568" s="934">
        <v>7.1990285360446196</v>
      </c>
      <c r="T568" s="1468">
        <v>7.2547449705179003</v>
      </c>
    </row>
    <row r="569" spans="1:20">
      <c r="A569" t="s">
        <v>1793</v>
      </c>
      <c r="B569" s="6" t="str">
        <f>HYPERLINK("http://www.ncbi.nlm.nih.gov/gene/76365", "76365")</f>
        <v>76365</v>
      </c>
      <c r="C569" s="6" t="str">
        <f>HYPERLINK("http://www.ncbi.nlm.nih.gov/gene/9096", "9096")</f>
        <v>9096</v>
      </c>
      <c r="D569" t="str">
        <f>"Tbx18"</f>
        <v>Tbx18</v>
      </c>
      <c r="E569" t="s">
        <v>1794</v>
      </c>
      <c r="F569" t="s">
        <v>1760</v>
      </c>
      <c r="H569" s="518">
        <v>4</v>
      </c>
      <c r="I569" s="357">
        <v>4.6583929002702904</v>
      </c>
      <c r="J569" s="420">
        <v>4.6363585648986696</v>
      </c>
      <c r="K569" s="234">
        <v>4.8821442783212197</v>
      </c>
      <c r="L569" s="2273">
        <v>3.6851996010207801</v>
      </c>
      <c r="M569" s="1759">
        <v>3.6283225717041701</v>
      </c>
      <c r="N569" s="1445">
        <v>3.6862654030968298</v>
      </c>
      <c r="O569" s="1399">
        <v>4.25883388244256</v>
      </c>
      <c r="P569" s="778">
        <v>4.3188895988171296</v>
      </c>
      <c r="Q569" s="2106">
        <v>4.2221091468871998</v>
      </c>
      <c r="R569" s="1267">
        <v>4.3968787337053401</v>
      </c>
      <c r="S569" s="827">
        <v>4.4497202663348396</v>
      </c>
      <c r="T569" s="940">
        <v>4.4625426131421104</v>
      </c>
    </row>
    <row r="570" spans="1:20">
      <c r="A570" t="s">
        <v>1761</v>
      </c>
      <c r="B570" s="6" t="str">
        <f>HYPERLINK("http://www.ncbi.nlm.nih.gov/gene/26968", "26968")</f>
        <v>26968</v>
      </c>
      <c r="C570" s="6" t="str">
        <f>HYPERLINK("http://www.ncbi.nlm.nih.gov/gene/3671", "3671")</f>
        <v>3671</v>
      </c>
      <c r="D570" t="str">
        <f>"Islr"</f>
        <v>Islr</v>
      </c>
      <c r="E570" t="s">
        <v>1762</v>
      </c>
      <c r="F570" t="s">
        <v>1763</v>
      </c>
      <c r="H570" s="518">
        <v>4</v>
      </c>
      <c r="I570" s="261">
        <v>9.6302034143387392</v>
      </c>
      <c r="J570" s="355">
        <v>9.6264908372160392</v>
      </c>
      <c r="K570" s="291">
        <v>9.7218775951054006</v>
      </c>
      <c r="L570" s="1860">
        <v>8.6947895194867098</v>
      </c>
      <c r="M570" s="1820">
        <v>8.4664891332696293</v>
      </c>
      <c r="N570" s="1707">
        <v>8.3946644984000596</v>
      </c>
      <c r="O570" s="1494">
        <v>9.1297734883726598</v>
      </c>
      <c r="P570" s="1254">
        <v>9.1558751050387901</v>
      </c>
      <c r="Q570" s="2153">
        <v>9.0553173435949308</v>
      </c>
      <c r="R570" s="920">
        <v>9.22800516397111</v>
      </c>
      <c r="S570" s="766">
        <v>9.3508434249227896</v>
      </c>
      <c r="T570" s="957">
        <v>9.5782568553427598</v>
      </c>
    </row>
    <row r="571" spans="1:20">
      <c r="A571" t="s">
        <v>1764</v>
      </c>
      <c r="B571" s="6" t="str">
        <f>HYPERLINK("http://www.ncbi.nlm.nih.gov/gene/320078", "320078")</f>
        <v>320078</v>
      </c>
      <c r="C571" s="6" t="str">
        <f>HYPERLINK("http://www.ncbi.nlm.nih.gov/gene/25903", "25903")</f>
        <v>25903</v>
      </c>
      <c r="D571" t="str">
        <f>"Olfml2b"</f>
        <v>Olfml2b</v>
      </c>
      <c r="E571" t="s">
        <v>1765</v>
      </c>
      <c r="F571" t="s">
        <v>1801</v>
      </c>
      <c r="H571" s="518">
        <v>4</v>
      </c>
      <c r="I571" s="103">
        <v>9.8108468284262393</v>
      </c>
      <c r="J571" s="268">
        <v>9.6125405466884999</v>
      </c>
      <c r="K571" s="296">
        <v>9.6395658162971802</v>
      </c>
      <c r="L571" s="2119">
        <v>7.6705062843783196</v>
      </c>
      <c r="M571" s="1559">
        <v>7.6616729695967196</v>
      </c>
      <c r="N571" s="1759">
        <v>7.4326730694520498</v>
      </c>
      <c r="O571" s="1196">
        <v>8.4930507702293401</v>
      </c>
      <c r="P571" s="658">
        <v>8.6210519631497906</v>
      </c>
      <c r="Q571" s="2171">
        <v>8.4005808064181107</v>
      </c>
      <c r="R571" s="966">
        <v>8.97579225453212</v>
      </c>
      <c r="S571" s="1305">
        <v>8.9948226906265205</v>
      </c>
      <c r="T571" s="767">
        <v>9.0000139918033106</v>
      </c>
    </row>
    <row r="572" spans="1:20">
      <c r="A572" t="s">
        <v>1802</v>
      </c>
      <c r="B572" s="6" t="str">
        <f>HYPERLINK("http://www.ncbi.nlm.nih.gov/gene/140493", "140493")</f>
        <v>140493</v>
      </c>
      <c r="C572" s="6" t="str">
        <f>HYPERLINK("http://www.ncbi.nlm.nih.gov/gene/3782", "3782")</f>
        <v>3782</v>
      </c>
      <c r="D572" t="str">
        <f>"Kcnn3"</f>
        <v>Kcnn3</v>
      </c>
      <c r="E572" t="s">
        <v>1776</v>
      </c>
      <c r="F572" t="s">
        <v>1777</v>
      </c>
      <c r="H572" s="518">
        <v>4</v>
      </c>
      <c r="I572" s="161">
        <v>5.83219961213854</v>
      </c>
      <c r="J572" s="447">
        <v>5.5936197197426196</v>
      </c>
      <c r="K572" s="267">
        <v>5.9335517924768899</v>
      </c>
      <c r="L572" s="2357">
        <v>4.6689335100053304</v>
      </c>
      <c r="M572" s="1767">
        <v>4.7048862081456804</v>
      </c>
      <c r="N572" s="1558">
        <v>4.6240976531225799</v>
      </c>
      <c r="O572" s="1395">
        <v>5.0726480036970596</v>
      </c>
      <c r="P572" s="910">
        <v>5.1329872239703498</v>
      </c>
      <c r="Q572" s="2060">
        <v>5.1073344168499997</v>
      </c>
      <c r="R572" s="824">
        <v>5.4060540831026502</v>
      </c>
      <c r="S572" s="1497">
        <v>5.3240390495059602</v>
      </c>
      <c r="T572" s="1498">
        <v>5.4858054953529303</v>
      </c>
    </row>
    <row r="573" spans="1:20">
      <c r="A573" t="s">
        <v>1778</v>
      </c>
      <c r="B573" s="6" t="str">
        <f>HYPERLINK("http://www.ncbi.nlm.nih.gov/gene/20440", "20440")</f>
        <v>20440</v>
      </c>
      <c r="C573" s="6" t="str">
        <f>HYPERLINK("http://www.ncbi.nlm.nih.gov/gene/6480", "6480")</f>
        <v>6480</v>
      </c>
      <c r="D573" t="str">
        <f>"St6gal1"</f>
        <v>St6gal1</v>
      </c>
      <c r="E573" t="s">
        <v>1779</v>
      </c>
      <c r="F573" t="s">
        <v>1787</v>
      </c>
      <c r="G573" t="s">
        <v>293</v>
      </c>
      <c r="H573" s="518">
        <v>4</v>
      </c>
      <c r="I573" s="296">
        <v>7.430592648427</v>
      </c>
      <c r="J573" s="496">
        <v>7.3812853939453502</v>
      </c>
      <c r="K573" s="279">
        <v>7.5315910427791497</v>
      </c>
      <c r="L573" s="2156">
        <v>6.1481578179871299</v>
      </c>
      <c r="M573" s="1160">
        <v>6.1993584464201401</v>
      </c>
      <c r="N573" s="1167">
        <v>6.3352780935295003</v>
      </c>
      <c r="O573" s="1204">
        <v>6.71063955076034</v>
      </c>
      <c r="P573" s="592">
        <v>6.6050471536421096</v>
      </c>
      <c r="Q573" s="2281">
        <v>6.5414263618089903</v>
      </c>
      <c r="R573" s="1457">
        <v>7.1904295164508598</v>
      </c>
      <c r="S573" s="875">
        <v>7.0838331487542296</v>
      </c>
      <c r="T573" s="1477">
        <v>7.0608098079743202</v>
      </c>
    </row>
    <row r="574" spans="1:20">
      <c r="A574" t="s">
        <v>1788</v>
      </c>
      <c r="B574" s="6" t="str">
        <f>HYPERLINK("http://www.ncbi.nlm.nih.gov/gene/12814", "12814")</f>
        <v>12814</v>
      </c>
      <c r="C574" s="6" t="str">
        <f>HYPERLINK("http://www.ncbi.nlm.nih.gov/gene/1301", "1301")</f>
        <v>1301</v>
      </c>
      <c r="D574" t="str">
        <f>"Col11a1"</f>
        <v>Col11a1</v>
      </c>
      <c r="E574" t="s">
        <v>1789</v>
      </c>
      <c r="F574" t="s">
        <v>1796</v>
      </c>
      <c r="G574" t="s">
        <v>1498</v>
      </c>
      <c r="H574" s="518">
        <v>4</v>
      </c>
      <c r="I574" s="171">
        <v>6.6993255657160704</v>
      </c>
      <c r="J574" s="387">
        <v>6.6853072477809796</v>
      </c>
      <c r="K574" s="363">
        <v>6.6472476098094804</v>
      </c>
      <c r="L574" s="2358">
        <v>5.3642541611676098</v>
      </c>
      <c r="M574" s="1691">
        <v>5.45935732102246</v>
      </c>
      <c r="N574" s="1319">
        <v>5.5312978262755301</v>
      </c>
      <c r="O574" s="1499">
        <v>5.7186488242937203</v>
      </c>
      <c r="P574" s="595">
        <v>5.9187383746947502</v>
      </c>
      <c r="Q574" s="2223">
        <v>6.0125933610699303</v>
      </c>
      <c r="R574" s="1246">
        <v>6.6403974475405798</v>
      </c>
      <c r="S574" s="975">
        <v>6.55405038823754</v>
      </c>
      <c r="T574" s="1492">
        <v>6.4808367160877296</v>
      </c>
    </row>
    <row r="575" spans="1:20">
      <c r="A575" t="s">
        <v>1797</v>
      </c>
      <c r="B575" s="6" t="str">
        <f>HYPERLINK("http://www.ncbi.nlm.nih.gov/gene/76441", "76441")</f>
        <v>76441</v>
      </c>
      <c r="C575" s="6" t="str">
        <f>HYPERLINK("http://www.ncbi.nlm.nih.gov/gene/23500", "23500")</f>
        <v>23500</v>
      </c>
      <c r="D575" t="str">
        <f>"Daam2"</f>
        <v>Daam2</v>
      </c>
      <c r="E575" t="s">
        <v>1795</v>
      </c>
      <c r="F575" t="s">
        <v>1766</v>
      </c>
      <c r="G575" t="s">
        <v>611</v>
      </c>
      <c r="H575" s="518">
        <v>4</v>
      </c>
      <c r="I575" s="457">
        <v>7.3054131058121099</v>
      </c>
      <c r="J575" s="494">
        <v>7.0118378128226704</v>
      </c>
      <c r="K575" s="461">
        <v>7.1610157001667698</v>
      </c>
      <c r="L575" s="2359">
        <v>5.67848661802108</v>
      </c>
      <c r="M575" s="1321">
        <v>5.7938685716681801</v>
      </c>
      <c r="N575" s="1712">
        <v>5.6619742945734597</v>
      </c>
      <c r="O575" s="1093">
        <v>6.3247927866796498</v>
      </c>
      <c r="P575" s="636">
        <v>6.2006857468640399</v>
      </c>
      <c r="Q575" s="2250">
        <v>6.2715130042170397</v>
      </c>
      <c r="R575" s="1220">
        <v>7.1688768504717002</v>
      </c>
      <c r="S575" s="536">
        <v>7.0218020278835898</v>
      </c>
      <c r="T575" s="921">
        <v>6.71758288419226</v>
      </c>
    </row>
    <row r="576" spans="1:20">
      <c r="A576" t="s">
        <v>1767</v>
      </c>
      <c r="B576" s="6" t="str">
        <f>HYPERLINK("http://www.ncbi.nlm.nih.gov/gene/101401", "101401")</f>
        <v>101401</v>
      </c>
      <c r="C576" s="6" t="str">
        <f>HYPERLINK("http://www.ncbi.nlm.nih.gov/gene/56999", "56999")</f>
        <v>56999</v>
      </c>
      <c r="D576" t="str">
        <f>"Adamts9"</f>
        <v>Adamts9</v>
      </c>
      <c r="E576" t="s">
        <v>1768</v>
      </c>
      <c r="F576" t="s">
        <v>1798</v>
      </c>
      <c r="H576" s="518">
        <v>4</v>
      </c>
      <c r="I576" s="167">
        <v>8.7796231820127897</v>
      </c>
      <c r="J576" s="489">
        <v>8.5501409278100002</v>
      </c>
      <c r="K576" s="183">
        <v>8.6955092810149797</v>
      </c>
      <c r="L576" s="2115">
        <v>7.3472883675491198</v>
      </c>
      <c r="M576" s="1317">
        <v>7.4599734099339496</v>
      </c>
      <c r="N576" s="1017">
        <v>7.5513334260388403</v>
      </c>
      <c r="O576" s="1230">
        <v>8.0144060793620806</v>
      </c>
      <c r="P576" s="1095">
        <v>8.0743090117189507</v>
      </c>
      <c r="Q576" s="2106">
        <v>8.0627092396983802</v>
      </c>
      <c r="R576" s="1220">
        <v>8.6367093960490902</v>
      </c>
      <c r="S576" s="690">
        <v>8.1231887234904807</v>
      </c>
      <c r="T576" s="821">
        <v>8.2297216955685002</v>
      </c>
    </row>
    <row r="577" spans="1:20">
      <c r="A577" t="s">
        <v>1799</v>
      </c>
      <c r="B577" s="6" t="str">
        <f>HYPERLINK("http://www.ncbi.nlm.nih.gov/gene/19266", "19266")</f>
        <v>19266</v>
      </c>
      <c r="C577" s="6" t="str">
        <f>HYPERLINK("http://www.ncbi.nlm.nih.gov/gene/", "")</f>
        <v/>
      </c>
      <c r="D577" t="str">
        <f>"Ptprd"</f>
        <v>Ptprd</v>
      </c>
      <c r="E577" t="s">
        <v>1800</v>
      </c>
      <c r="F577" t="s">
        <v>1771</v>
      </c>
      <c r="H577" s="518">
        <v>4</v>
      </c>
      <c r="I577" s="85">
        <v>8.9886196290208193</v>
      </c>
      <c r="J577" s="394">
        <v>8.7390300524411302</v>
      </c>
      <c r="K577" s="268">
        <v>8.7898778539099798</v>
      </c>
      <c r="L577" s="2360">
        <v>6.3080301263269396</v>
      </c>
      <c r="M577" s="1138">
        <v>6.5860390522895704</v>
      </c>
      <c r="N577" s="1654">
        <v>6.3645368539931599</v>
      </c>
      <c r="O577" s="1208">
        <v>7.7185642899950997</v>
      </c>
      <c r="P577" s="798">
        <v>7.7728544520011402</v>
      </c>
      <c r="Q577" s="2361">
        <v>7.8822784164476598</v>
      </c>
      <c r="R577" s="1301">
        <v>8.0483240526216395</v>
      </c>
      <c r="S577" s="720">
        <v>7.7780984755523903</v>
      </c>
      <c r="T577" s="821">
        <v>7.9308196731575498</v>
      </c>
    </row>
    <row r="578" spans="1:20">
      <c r="A578" t="s">
        <v>1772</v>
      </c>
      <c r="B578" s="6" t="str">
        <f>HYPERLINK("http://www.ncbi.nlm.nih.gov/gene/11745", "11745")</f>
        <v>11745</v>
      </c>
      <c r="C578" s="6" t="str">
        <f>HYPERLINK("http://www.ncbi.nlm.nih.gov/gene/306", "306")</f>
        <v>306</v>
      </c>
      <c r="D578" t="str">
        <f>"Anxa3"</f>
        <v>Anxa3</v>
      </c>
      <c r="E578" t="s">
        <v>1780</v>
      </c>
      <c r="F578" t="s">
        <v>1803</v>
      </c>
      <c r="H578" s="518">
        <v>4</v>
      </c>
      <c r="I578" s="461">
        <v>6.8516634733600297</v>
      </c>
      <c r="J578" s="340">
        <v>6.7073185414684602</v>
      </c>
      <c r="K578" s="268">
        <v>6.9093372316009303</v>
      </c>
      <c r="L578" s="1858">
        <v>6.0301136858066098</v>
      </c>
      <c r="M578" s="1319">
        <v>5.8336486908081104</v>
      </c>
      <c r="N578" s="2268">
        <v>5.4555793921539601</v>
      </c>
      <c r="O578" s="1211">
        <v>6.3496747723787204</v>
      </c>
      <c r="P578" s="1006">
        <v>6.1800477267341103</v>
      </c>
      <c r="Q578" s="2246">
        <v>6.0635931920006403</v>
      </c>
      <c r="R578" s="858">
        <v>6.8908251373879699</v>
      </c>
      <c r="S578" s="951">
        <v>6.6736309005941497</v>
      </c>
      <c r="T578" s="1500">
        <v>6.5207361362134302</v>
      </c>
    </row>
    <row r="579" spans="1:20">
      <c r="A579" t="s">
        <v>1804</v>
      </c>
      <c r="B579" s="6" t="str">
        <f>HYPERLINK("http://www.ncbi.nlm.nih.gov/gene/74486", "74486")</f>
        <v>74486</v>
      </c>
      <c r="C579" s="6" t="str">
        <f>HYPERLINK("http://www.ncbi.nlm.nih.gov/gene/114884", "114884")</f>
        <v>114884</v>
      </c>
      <c r="D579" t="str">
        <f>"Osbpl10"</f>
        <v>Osbpl10</v>
      </c>
      <c r="E579" t="s">
        <v>1805</v>
      </c>
      <c r="F579" t="s">
        <v>1786</v>
      </c>
      <c r="H579" s="518">
        <v>4</v>
      </c>
      <c r="I579" s="380">
        <v>6.1646042751715502</v>
      </c>
      <c r="J579" s="358">
        <v>6.2965741032917197</v>
      </c>
      <c r="K579" s="78">
        <v>6.33180122528894</v>
      </c>
      <c r="L579" s="2109">
        <v>5.3253401005588898</v>
      </c>
      <c r="M579" s="1563">
        <v>5.2990925857637698</v>
      </c>
      <c r="N579" s="1690">
        <v>5.1353534120590698</v>
      </c>
      <c r="O579" s="1501">
        <v>5.8150154500342897</v>
      </c>
      <c r="P579" s="1122">
        <v>5.8622855740633604</v>
      </c>
      <c r="Q579" s="2253">
        <v>5.7574515749083597</v>
      </c>
      <c r="R579" s="1465">
        <v>6.1929679403698401</v>
      </c>
      <c r="S579" s="933">
        <v>6.1177272632857598</v>
      </c>
      <c r="T579" s="794">
        <v>5.80079149562195</v>
      </c>
    </row>
    <row r="580" spans="1:20">
      <c r="A580" t="s">
        <v>1769</v>
      </c>
      <c r="B580" s="6" t="str">
        <f>HYPERLINK("http://www.ncbi.nlm.nih.gov/gene/94212", "94212")</f>
        <v>94212</v>
      </c>
      <c r="C580" s="6" t="str">
        <f>HYPERLINK("http://www.ncbi.nlm.nih.gov/gene/55824", "55824")</f>
        <v>55824</v>
      </c>
      <c r="D580" t="str">
        <f>"Pag1"</f>
        <v>Pag1</v>
      </c>
      <c r="E580" t="s">
        <v>1770</v>
      </c>
      <c r="F580" t="s">
        <v>1773</v>
      </c>
      <c r="H580" s="518">
        <v>4</v>
      </c>
      <c r="I580" s="431">
        <v>4.5639187511338202</v>
      </c>
      <c r="J580" s="340">
        <v>4.7203776497998797</v>
      </c>
      <c r="K580" s="425">
        <v>4.4561083632985703</v>
      </c>
      <c r="L580" s="2343">
        <v>3.0339739796110501</v>
      </c>
      <c r="M580" s="1646">
        <v>3.2515403694590201</v>
      </c>
      <c r="N580" s="1558">
        <v>3.10405903238988</v>
      </c>
      <c r="O580" s="1502">
        <v>5.0966679693201504</v>
      </c>
      <c r="P580" s="848">
        <v>4.8540454262720596</v>
      </c>
      <c r="Q580" s="2362">
        <v>5.14134745840426</v>
      </c>
      <c r="R580" s="751">
        <v>4.2203914222005903</v>
      </c>
      <c r="S580" s="680">
        <v>3.89204821069871</v>
      </c>
      <c r="T580" s="611">
        <v>3.7745574137430302</v>
      </c>
    </row>
    <row r="581" spans="1:20">
      <c r="A581" t="s">
        <v>1774</v>
      </c>
      <c r="B581" s="6" t="str">
        <f>HYPERLINK("http://www.ncbi.nlm.nih.gov/gene/30937", "30937")</f>
        <v>30937</v>
      </c>
      <c r="C581" s="6" t="str">
        <f>HYPERLINK("http://www.ncbi.nlm.nih.gov/gene/29995", "29995")</f>
        <v>29995</v>
      </c>
      <c r="D581" t="str">
        <f>"Lmcd1"</f>
        <v>Lmcd1</v>
      </c>
      <c r="E581" t="s">
        <v>1775</v>
      </c>
      <c r="F581" t="s">
        <v>1781</v>
      </c>
      <c r="H581" s="518">
        <v>4</v>
      </c>
      <c r="I581" s="281">
        <v>5.9495618623641002</v>
      </c>
      <c r="J581" s="481">
        <v>6.1520205084889898</v>
      </c>
      <c r="K581" s="326">
        <v>6.01639818320138</v>
      </c>
      <c r="L581" s="2363">
        <v>3.95732515742232</v>
      </c>
      <c r="M581" s="987">
        <v>4.5092818870303102</v>
      </c>
      <c r="N581" s="1710">
        <v>3.82708359053228</v>
      </c>
      <c r="O581" s="1503">
        <v>6.8536859811021298</v>
      </c>
      <c r="P581" s="714">
        <v>6.8447323735490002</v>
      </c>
      <c r="Q581" s="2364">
        <v>6.5577272059418501</v>
      </c>
      <c r="R581" s="790">
        <v>5.3721048519511703</v>
      </c>
      <c r="S581" s="672">
        <v>5.4927320236770303</v>
      </c>
      <c r="T581" s="664">
        <v>5.3392695460514998</v>
      </c>
    </row>
    <row r="582" spans="1:20">
      <c r="A582" t="s">
        <v>1782</v>
      </c>
      <c r="B582" s="6" t="str">
        <f>HYPERLINK("http://www.ncbi.nlm.nih.gov/gene/100862129", "100862129")</f>
        <v>100862129</v>
      </c>
      <c r="C582" s="6" t="str">
        <f>HYPERLINK("http://www.ncbi.nlm.nih.gov/gene/", "")</f>
        <v/>
      </c>
      <c r="D582" t="str">
        <f>"LOC100862129"</f>
        <v>LOC100862129</v>
      </c>
      <c r="E582" t="s">
        <v>1783</v>
      </c>
      <c r="H582" s="518">
        <v>4</v>
      </c>
      <c r="I582" s="356">
        <v>6.7615645436342096</v>
      </c>
      <c r="J582" s="381">
        <v>6.9677773298013799</v>
      </c>
      <c r="K582" s="451">
        <v>6.7921071184353403</v>
      </c>
      <c r="L582" s="2119">
        <v>4.7269836647732202</v>
      </c>
      <c r="M582" s="727">
        <v>4.7027474174392196</v>
      </c>
      <c r="N582" s="1651">
        <v>4.3284127162222799</v>
      </c>
      <c r="O582" s="1483">
        <v>7.2635777635006002</v>
      </c>
      <c r="P582" s="979">
        <v>7.1430258006425298</v>
      </c>
      <c r="Q582" s="2365">
        <v>7.0677077942429998</v>
      </c>
      <c r="R582" s="529">
        <v>5.7603543647306896</v>
      </c>
      <c r="S582" s="550">
        <v>5.8429306037885498</v>
      </c>
      <c r="T582" s="673">
        <v>5.6135002770466702</v>
      </c>
    </row>
    <row r="583" spans="1:20">
      <c r="A583" t="s">
        <v>1784</v>
      </c>
      <c r="B583" s="6" t="str">
        <f>HYPERLINK("http://www.ncbi.nlm.nih.gov/gene/19411", "19411")</f>
        <v>19411</v>
      </c>
      <c r="C583" s="6" t="str">
        <f>HYPERLINK("http://www.ncbi.nlm.nih.gov/gene/5916", "5916")</f>
        <v>5916</v>
      </c>
      <c r="D583" t="str">
        <f>"Rarg"</f>
        <v>Rarg</v>
      </c>
      <c r="E583" t="s">
        <v>1785</v>
      </c>
      <c r="F583" t="s">
        <v>1806</v>
      </c>
      <c r="H583" s="518">
        <v>4</v>
      </c>
      <c r="I583" s="251">
        <v>6.3258750370754404</v>
      </c>
      <c r="J583" s="369">
        <v>6.5077035020088001</v>
      </c>
      <c r="K583" s="356">
        <v>6.3822055371559996</v>
      </c>
      <c r="L583" s="2326">
        <v>5.5273937060299696</v>
      </c>
      <c r="M583" s="1306">
        <v>5.52961594142353</v>
      </c>
      <c r="N583" s="1663">
        <v>5.1059057472378102</v>
      </c>
      <c r="O583" s="1503">
        <v>6.6817520991245303</v>
      </c>
      <c r="P583" s="923">
        <v>6.48400582676779</v>
      </c>
      <c r="Q583" s="2366">
        <v>6.5530191837233804</v>
      </c>
      <c r="R583" s="700">
        <v>5.9774653525547299</v>
      </c>
      <c r="S583" s="659">
        <v>5.79959735315673</v>
      </c>
      <c r="T583" s="897">
        <v>5.8750997942537602</v>
      </c>
    </row>
    <row r="584" spans="1:20">
      <c r="A584" t="s">
        <v>1829</v>
      </c>
      <c r="B584" s="6" t="str">
        <f>HYPERLINK("http://www.ncbi.nlm.nih.gov/gene/229699", "229699")</f>
        <v>229699</v>
      </c>
      <c r="C584" s="6" t="str">
        <f>HYPERLINK("http://www.ncbi.nlm.nih.gov/gene/9122", "9122")</f>
        <v>9122</v>
      </c>
      <c r="D584" t="str">
        <f>"Slc16a4"</f>
        <v>Slc16a4</v>
      </c>
      <c r="E584" t="s">
        <v>1830</v>
      </c>
      <c r="F584" t="s">
        <v>1807</v>
      </c>
      <c r="H584" s="518">
        <v>4</v>
      </c>
      <c r="I584" s="431">
        <v>4.5926470560757799</v>
      </c>
      <c r="J584" s="33">
        <v>4.2802126223277304</v>
      </c>
      <c r="K584" s="357">
        <v>4.8402170448498802</v>
      </c>
      <c r="L584" s="2354">
        <v>3.3175202400891299</v>
      </c>
      <c r="M584" s="1412">
        <v>3.6679265698390799</v>
      </c>
      <c r="N584" s="1718">
        <v>3.2829241443855501</v>
      </c>
      <c r="O584" s="936">
        <v>4.5463564572122204</v>
      </c>
      <c r="P584" s="1198">
        <v>4.9972356890572902</v>
      </c>
      <c r="Q584" s="1974">
        <v>4.82928328773672</v>
      </c>
      <c r="R584" s="806">
        <v>4.5576289069361096</v>
      </c>
      <c r="S584" s="805">
        <v>4.3843650909834704</v>
      </c>
      <c r="T584" s="1389">
        <v>4.2734692889068198</v>
      </c>
    </row>
    <row r="585" spans="1:20">
      <c r="A585" t="s">
        <v>1808</v>
      </c>
      <c r="B585" s="6" t="str">
        <f>HYPERLINK("http://www.ncbi.nlm.nih.gov/gene/71436", "71436")</f>
        <v>71436</v>
      </c>
      <c r="C585" s="6" t="str">
        <f>HYPERLINK("http://www.ncbi.nlm.nih.gov/gene/23767", "23767")</f>
        <v>23767</v>
      </c>
      <c r="D585" t="str">
        <f>"Flrt3"</f>
        <v>Flrt3</v>
      </c>
      <c r="E585" t="s">
        <v>1809</v>
      </c>
      <c r="F585" t="s">
        <v>1810</v>
      </c>
      <c r="H585" s="518">
        <v>4</v>
      </c>
      <c r="I585" s="324">
        <v>8.2571413025626708</v>
      </c>
      <c r="J585" s="281">
        <v>8.2333315621657501</v>
      </c>
      <c r="K585" s="277">
        <v>8.3958087960075893</v>
      </c>
      <c r="L585" s="2276">
        <v>7.1712170017190298</v>
      </c>
      <c r="M585" s="1702">
        <v>6.8480086671746303</v>
      </c>
      <c r="N585" s="1558">
        <v>7.1261510661634704</v>
      </c>
      <c r="O585" s="1505">
        <v>8.5292474232005109</v>
      </c>
      <c r="P585" s="946">
        <v>8.3880846247199106</v>
      </c>
      <c r="Q585" s="2367">
        <v>8.8373239096336</v>
      </c>
      <c r="R585" s="700">
        <v>7.9003237383508997</v>
      </c>
      <c r="S585" s="939">
        <v>8.1811852943510193</v>
      </c>
      <c r="T585" s="1461">
        <v>8.20773045837994</v>
      </c>
    </row>
    <row r="586" spans="1:20">
      <c r="A586" t="s">
        <v>1811</v>
      </c>
      <c r="B586" s="6" t="str">
        <f>HYPERLINK("http://www.ncbi.nlm.nih.gov/gene/24001", "24001")</f>
        <v>24001</v>
      </c>
      <c r="C586" s="6" t="str">
        <f>HYPERLINK("http://www.ncbi.nlm.nih.gov/gene/26230", "26230")</f>
        <v>26230</v>
      </c>
      <c r="D586" t="str">
        <f>"Tiam2"</f>
        <v>Tiam2</v>
      </c>
      <c r="E586" t="s">
        <v>1812</v>
      </c>
      <c r="F586" t="s">
        <v>1813</v>
      </c>
      <c r="G586" t="s">
        <v>1814</v>
      </c>
      <c r="H586" s="518">
        <v>4</v>
      </c>
      <c r="I586" s="292">
        <v>5.1104239779062004</v>
      </c>
      <c r="J586" s="465">
        <v>4.9033479974352199</v>
      </c>
      <c r="K586" s="171">
        <v>5.5546159176262702</v>
      </c>
      <c r="L586" s="2368">
        <v>3.7079780316284601</v>
      </c>
      <c r="M586" s="1820">
        <v>3.8287897317744299</v>
      </c>
      <c r="N586" s="1594">
        <v>3.9400058582971602</v>
      </c>
      <c r="O586" s="1418">
        <v>5.3277695865771397</v>
      </c>
      <c r="P586" s="931">
        <v>5.4039204154497504</v>
      </c>
      <c r="Q586" s="2297">
        <v>5.5377246224982697</v>
      </c>
      <c r="R586" s="1213">
        <v>4.9475533973483303</v>
      </c>
      <c r="S586" s="1251">
        <v>4.9145376449107596</v>
      </c>
      <c r="T586" s="1506">
        <v>5.0809816203002098</v>
      </c>
    </row>
    <row r="587" spans="1:20">
      <c r="A587" t="s">
        <v>1815</v>
      </c>
      <c r="B587" s="6" t="str">
        <f>HYPERLINK("http://www.ncbi.nlm.nih.gov/gene/22634", "22634")</f>
        <v>22634</v>
      </c>
      <c r="C587" s="6" t="str">
        <f>HYPERLINK("http://www.ncbi.nlm.nih.gov/gene/5325", "5325")</f>
        <v>5325</v>
      </c>
      <c r="D587" t="str">
        <f>"Plagl1"</f>
        <v>Plagl1</v>
      </c>
      <c r="E587" t="s">
        <v>1816</v>
      </c>
      <c r="F587" t="s">
        <v>1817</v>
      </c>
      <c r="H587" s="518">
        <v>4</v>
      </c>
      <c r="I587" s="383">
        <v>10.052611771064401</v>
      </c>
      <c r="J587" s="294">
        <v>9.83492829558846</v>
      </c>
      <c r="K587" s="396">
        <v>9.8532619111018303</v>
      </c>
      <c r="L587" s="2363">
        <v>7.4642596749609398</v>
      </c>
      <c r="M587" s="1729">
        <v>7.4548588985911302</v>
      </c>
      <c r="N587" s="1688">
        <v>7.3967683974493896</v>
      </c>
      <c r="O587" s="1422">
        <v>10.232650016982801</v>
      </c>
      <c r="P587" s="912">
        <v>10.065121250634601</v>
      </c>
      <c r="Q587" s="2348">
        <v>10.207392818783299</v>
      </c>
      <c r="R587" s="1297">
        <v>9.3845986145881106</v>
      </c>
      <c r="S587" s="751">
        <v>9.2704459393458105</v>
      </c>
      <c r="T587" s="1404">
        <v>9.1897803109089899</v>
      </c>
    </row>
    <row r="588" spans="1:20">
      <c r="A588" t="s">
        <v>1818</v>
      </c>
      <c r="B588" s="6" t="str">
        <f>HYPERLINK("http://www.ncbi.nlm.nih.gov/gene/72607", "72607")</f>
        <v>72607</v>
      </c>
      <c r="C588" s="6" t="str">
        <f>HYPERLINK("http://www.ncbi.nlm.nih.gov/gene/8975", "8975")</f>
        <v>8975</v>
      </c>
      <c r="D588" t="str">
        <f>"Usp13"</f>
        <v>Usp13</v>
      </c>
      <c r="E588" t="s">
        <v>1819</v>
      </c>
      <c r="F588" t="s">
        <v>1820</v>
      </c>
      <c r="H588" s="518">
        <v>4</v>
      </c>
      <c r="I588" s="435">
        <v>5.6788046511302497</v>
      </c>
      <c r="J588" s="500">
        <v>5.7097126647382099</v>
      </c>
      <c r="K588" s="30">
        <v>5.7276490128562001</v>
      </c>
      <c r="L588" s="2290">
        <v>3.8393681363830598</v>
      </c>
      <c r="M588" s="1433">
        <v>3.6188719111918801</v>
      </c>
      <c r="N588" s="1730">
        <v>3.5615795449962402</v>
      </c>
      <c r="O588" s="1294">
        <v>5.8437571517061304</v>
      </c>
      <c r="P588" s="933">
        <v>5.7064372556971996</v>
      </c>
      <c r="Q588" s="2027">
        <v>5.9572820707293497</v>
      </c>
      <c r="R588" s="528">
        <v>5.0301409867645601</v>
      </c>
      <c r="S588" s="720">
        <v>5.1305357343954601</v>
      </c>
      <c r="T588" s="1507">
        <v>5.3171886474993499</v>
      </c>
    </row>
    <row r="589" spans="1:20">
      <c r="A589" t="s">
        <v>1821</v>
      </c>
      <c r="B589" s="6" t="str">
        <f>HYPERLINK("http://www.ncbi.nlm.nih.gov/gene/381489", "381489")</f>
        <v>381489</v>
      </c>
      <c r="C589" s="6" t="str">
        <f>HYPERLINK("http://www.ncbi.nlm.nih.gov/gene/59350", "59350")</f>
        <v>59350</v>
      </c>
      <c r="D589" t="str">
        <f>"Rxfp1"</f>
        <v>Rxfp1</v>
      </c>
      <c r="E589" t="s">
        <v>1822</v>
      </c>
      <c r="F589" t="s">
        <v>1823</v>
      </c>
      <c r="G589" t="s">
        <v>106</v>
      </c>
      <c r="H589" s="518">
        <v>4</v>
      </c>
      <c r="I589" s="435">
        <v>5.2118998845251996</v>
      </c>
      <c r="J589" s="251">
        <v>5.0718505745667803</v>
      </c>
      <c r="K589" s="336">
        <v>5.2276887428643199</v>
      </c>
      <c r="L589" s="2368">
        <v>2.5467783550757601</v>
      </c>
      <c r="M589" s="1565">
        <v>2.94468445773806</v>
      </c>
      <c r="N589" s="1445">
        <v>2.8903838314707699</v>
      </c>
      <c r="O589" s="1294">
        <v>5.4203966748454597</v>
      </c>
      <c r="P589" s="542">
        <v>5.6582399964155696</v>
      </c>
      <c r="Q589" s="2369">
        <v>5.7054511487464001</v>
      </c>
      <c r="R589" s="550">
        <v>4.2498215580527896</v>
      </c>
      <c r="S589" s="658">
        <v>4.3840880187115499</v>
      </c>
      <c r="T589" s="747">
        <v>4.5493938700444199</v>
      </c>
    </row>
    <row r="590" spans="1:20">
      <c r="A590" t="s">
        <v>1824</v>
      </c>
      <c r="B590" s="6" t="str">
        <f>HYPERLINK("http://www.ncbi.nlm.nih.gov/gene/108797", "108797")</f>
        <v>108797</v>
      </c>
      <c r="C590" s="6" t="str">
        <f>HYPERLINK("http://www.ncbi.nlm.nih.gov/gene/84206", "84206")</f>
        <v>84206</v>
      </c>
      <c r="D590" t="str">
        <f>"Mex3b"</f>
        <v>Mex3b</v>
      </c>
      <c r="E590" t="s">
        <v>1825</v>
      </c>
      <c r="F590" t="s">
        <v>1826</v>
      </c>
      <c r="H590" s="518">
        <v>4</v>
      </c>
      <c r="I590" s="417">
        <v>8.5813188253096904</v>
      </c>
      <c r="J590" s="500">
        <v>8.5846561149966298</v>
      </c>
      <c r="K590" s="495">
        <v>8.58736933949187</v>
      </c>
      <c r="L590" s="2363">
        <v>7.0501456654275501</v>
      </c>
      <c r="M590" s="1594">
        <v>7.1670589189656901</v>
      </c>
      <c r="N590" s="1701">
        <v>7.0173983415463699</v>
      </c>
      <c r="O590" s="925">
        <v>8.6669699187783706</v>
      </c>
      <c r="P590" s="930">
        <v>8.7239584202462304</v>
      </c>
      <c r="Q590" s="2370">
        <v>8.8708201062574297</v>
      </c>
      <c r="R590" s="790">
        <v>7.9827522594928197</v>
      </c>
      <c r="S590" s="649">
        <v>8.01410903972047</v>
      </c>
      <c r="T590" s="1509">
        <v>8.1415049146409793</v>
      </c>
    </row>
    <row r="591" spans="1:20">
      <c r="A591" t="s">
        <v>1827</v>
      </c>
      <c r="B591" s="6" t="str">
        <f>HYPERLINK("http://www.ncbi.nlm.nih.gov/gene/12794", "12794")</f>
        <v>12794</v>
      </c>
      <c r="C591" s="6" t="str">
        <f>HYPERLINK("http://www.ncbi.nlm.nih.gov/gene/254263", "254263")</f>
        <v>254263</v>
      </c>
      <c r="D591" t="str">
        <f>"Cnih2"</f>
        <v>Cnih2</v>
      </c>
      <c r="E591" t="s">
        <v>1828</v>
      </c>
      <c r="F591" t="s">
        <v>1831</v>
      </c>
      <c r="H591" s="518">
        <v>4</v>
      </c>
      <c r="I591" s="393">
        <v>6.6562177261240301</v>
      </c>
      <c r="J591" s="427">
        <v>6.3459528423557598</v>
      </c>
      <c r="K591" s="282">
        <v>6.48269433250878</v>
      </c>
      <c r="L591" s="1911">
        <v>5.5389842751870297</v>
      </c>
      <c r="M591" s="1317">
        <v>5.4645075579942102</v>
      </c>
      <c r="N591" s="2334">
        <v>5.1505123320384296</v>
      </c>
      <c r="O591" s="1510">
        <v>6.93327926518716</v>
      </c>
      <c r="P591" s="1120">
        <v>6.9778322282266103</v>
      </c>
      <c r="Q591" s="2371">
        <v>6.9017337123980198</v>
      </c>
      <c r="R591" s="833">
        <v>6.2968585843192004</v>
      </c>
      <c r="S591" s="750">
        <v>6.3731570848329602</v>
      </c>
      <c r="T591" s="791">
        <v>6.2832621553349703</v>
      </c>
    </row>
    <row r="592" spans="1:20">
      <c r="A592" t="s">
        <v>1832</v>
      </c>
      <c r="B592" s="6" t="str">
        <f>HYPERLINK("http://www.ncbi.nlm.nih.gov/gene/18162", "18162")</f>
        <v>18162</v>
      </c>
      <c r="C592" s="6" t="str">
        <f>HYPERLINK("http://www.ncbi.nlm.nih.gov/gene/4883", "4883")</f>
        <v>4883</v>
      </c>
      <c r="D592" t="str">
        <f>"Npr3"</f>
        <v>Npr3</v>
      </c>
      <c r="E592" t="s">
        <v>1833</v>
      </c>
      <c r="F592" t="s">
        <v>1834</v>
      </c>
      <c r="H592" s="518">
        <v>4</v>
      </c>
      <c r="I592" s="426">
        <v>6.8795902391831696</v>
      </c>
      <c r="J592" s="255">
        <v>6.80409744258196</v>
      </c>
      <c r="K592" s="281">
        <v>6.9113918820114302</v>
      </c>
      <c r="L592" s="2372">
        <v>5.1491226200470797</v>
      </c>
      <c r="M592" s="1709">
        <v>4.8306342275462999</v>
      </c>
      <c r="N592" s="1594">
        <v>5.1708819833072797</v>
      </c>
      <c r="O592" s="852">
        <v>7.6014464127930603</v>
      </c>
      <c r="P592" s="553">
        <v>7.7434497350034404</v>
      </c>
      <c r="Q592" s="2373">
        <v>7.6339650545909699</v>
      </c>
      <c r="R592" s="1254">
        <v>6.5157900732628802</v>
      </c>
      <c r="S592" s="1297">
        <v>6.7051045922479897</v>
      </c>
      <c r="T592" s="839">
        <v>6.6115980795440299</v>
      </c>
    </row>
    <row r="593" spans="1:20">
      <c r="A593" t="s">
        <v>1835</v>
      </c>
      <c r="B593" s="6" t="str">
        <f>HYPERLINK("http://www.ncbi.nlm.nih.gov/gene/22596", "22596")</f>
        <v>22596</v>
      </c>
      <c r="C593" s="6" t="str">
        <f>HYPERLINK("http://www.ncbi.nlm.nih.gov/gene/7520", "7520")</f>
        <v>7520</v>
      </c>
      <c r="D593" t="str">
        <f>"Xrcc5"</f>
        <v>Xrcc5</v>
      </c>
      <c r="E593" t="s">
        <v>1836</v>
      </c>
      <c r="F593" t="s">
        <v>1839</v>
      </c>
      <c r="G593" t="s">
        <v>1840</v>
      </c>
      <c r="H593" s="518">
        <v>4</v>
      </c>
      <c r="I593" s="364">
        <v>6.4580713188533601</v>
      </c>
      <c r="J593" s="341">
        <v>6.1839823603931796</v>
      </c>
      <c r="K593" s="501">
        <v>6.4444214693505497</v>
      </c>
      <c r="L593" s="2150">
        <v>4.7283400119246499</v>
      </c>
      <c r="M593" s="1285">
        <v>4.8498169743050097</v>
      </c>
      <c r="N593" s="1717">
        <v>4.83779309993486</v>
      </c>
      <c r="O593" s="903">
        <v>6.65053047054732</v>
      </c>
      <c r="P593" s="938">
        <v>6.6756708407213896</v>
      </c>
      <c r="Q593" s="1984">
        <v>6.84917782856646</v>
      </c>
      <c r="R593" s="781">
        <v>6.0114416742482399</v>
      </c>
      <c r="S593" s="1301">
        <v>6.2569248299915499</v>
      </c>
      <c r="T593" s="667">
        <v>6.0732299480180698</v>
      </c>
    </row>
    <row r="594" spans="1:20">
      <c r="A594" t="s">
        <v>1841</v>
      </c>
      <c r="B594" s="6" t="str">
        <f>HYPERLINK("http://www.ncbi.nlm.nih.gov/gene/12394", "12394")</f>
        <v>12394</v>
      </c>
      <c r="C594" s="6" t="str">
        <f>HYPERLINK("http://www.ncbi.nlm.nih.gov/gene/861", "861")</f>
        <v>861</v>
      </c>
      <c r="D594" t="str">
        <f>"Runx1"</f>
        <v>Runx1</v>
      </c>
      <c r="E594" t="s">
        <v>1842</v>
      </c>
      <c r="F594" t="s">
        <v>1844</v>
      </c>
      <c r="G594" t="s">
        <v>1837</v>
      </c>
      <c r="H594" s="518">
        <v>4</v>
      </c>
      <c r="I594" s="293">
        <v>5.7918177299987201</v>
      </c>
      <c r="J594" s="464">
        <v>5.4288401675805096</v>
      </c>
      <c r="K594" s="395">
        <v>5.8996220217834603</v>
      </c>
      <c r="L594" s="1911">
        <v>4.2607446297417804</v>
      </c>
      <c r="M594" s="2268">
        <v>3.69078609748605</v>
      </c>
      <c r="N594" s="1559">
        <v>4.2210995955447901</v>
      </c>
      <c r="O594" s="1511">
        <v>5.9160198979413599</v>
      </c>
      <c r="P594" s="938">
        <v>5.9281960329773398</v>
      </c>
      <c r="Q594" s="2032">
        <v>5.8889470010065601</v>
      </c>
      <c r="R594" s="806">
        <v>5.5885692943799903</v>
      </c>
      <c r="S594" s="920">
        <v>5.33234701497393</v>
      </c>
      <c r="T594" s="1437">
        <v>4.8514304576549998</v>
      </c>
    </row>
    <row r="595" spans="1:20">
      <c r="A595" t="s">
        <v>1838</v>
      </c>
      <c r="B595" s="6" t="str">
        <f>HYPERLINK("http://www.ncbi.nlm.nih.gov/gene/171170", "171170")</f>
        <v>171170</v>
      </c>
      <c r="C595" s="6" t="str">
        <f>HYPERLINK("http://www.ncbi.nlm.nih.gov/gene/55796", "55796")</f>
        <v>55796</v>
      </c>
      <c r="D595" t="str">
        <f>"Mbnl3"</f>
        <v>Mbnl3</v>
      </c>
      <c r="E595" t="s">
        <v>1848</v>
      </c>
      <c r="F595" t="s">
        <v>1849</v>
      </c>
      <c r="H595" s="518">
        <v>4</v>
      </c>
      <c r="I595" s="438">
        <v>6.6954958241060396</v>
      </c>
      <c r="J595" s="434">
        <v>6.5313882084855397</v>
      </c>
      <c r="K595" s="413">
        <v>7.03571564038264</v>
      </c>
      <c r="L595" s="2374">
        <v>4.1066867602132602</v>
      </c>
      <c r="M595" s="1593">
        <v>4.2507281307380396</v>
      </c>
      <c r="N595" s="1323">
        <v>4.7013254196980396</v>
      </c>
      <c r="O595" s="741">
        <v>7.2559194416898096</v>
      </c>
      <c r="P595" s="1170">
        <v>7.2679877194655198</v>
      </c>
      <c r="Q595" s="1926">
        <v>7.4624674323046296</v>
      </c>
      <c r="R595" s="629">
        <v>5.6922730508681703</v>
      </c>
      <c r="S595" s="779">
        <v>5.9074714133189596</v>
      </c>
      <c r="T595" s="681">
        <v>5.61033234315454</v>
      </c>
    </row>
    <row r="596" spans="1:20">
      <c r="A596" t="s">
        <v>1850</v>
      </c>
      <c r="B596" s="6" t="str">
        <f>HYPERLINK("http://www.ncbi.nlm.nih.gov/gene/11489", "11489")</f>
        <v>11489</v>
      </c>
      <c r="C596" s="6" t="str">
        <f>HYPERLINK("http://www.ncbi.nlm.nih.gov/gene/8038", "8038")</f>
        <v>8038</v>
      </c>
      <c r="D596" t="str">
        <f>"Adam12"</f>
        <v>Adam12</v>
      </c>
      <c r="E596" t="s">
        <v>1851</v>
      </c>
      <c r="F596" t="s">
        <v>1852</v>
      </c>
      <c r="H596" s="518">
        <v>4</v>
      </c>
      <c r="I596" s="448">
        <v>7.2746342169906404</v>
      </c>
      <c r="J596" s="315">
        <v>7.0151346833777</v>
      </c>
      <c r="K596" s="489">
        <v>7.2340482180447001</v>
      </c>
      <c r="L596" s="2115">
        <v>5.7666364316368197</v>
      </c>
      <c r="M596" s="1643">
        <v>5.7952042840510698</v>
      </c>
      <c r="N596" s="1646">
        <v>5.9965132917384301</v>
      </c>
      <c r="O596" s="1512">
        <v>7.3206490350441698</v>
      </c>
      <c r="P596" s="938">
        <v>7.2469464500071696</v>
      </c>
      <c r="Q596" s="2307">
        <v>7.20634710895692</v>
      </c>
      <c r="R596" s="1207">
        <v>6.6991536410385404</v>
      </c>
      <c r="S596" s="629">
        <v>6.54653676019558</v>
      </c>
      <c r="T596" s="1407">
        <v>6.5498316354154502</v>
      </c>
    </row>
    <row r="597" spans="1:20">
      <c r="A597" t="s">
        <v>1853</v>
      </c>
      <c r="B597" s="6" t="str">
        <f>HYPERLINK("http://www.ncbi.nlm.nih.gov/gene/19242", "19242")</f>
        <v>19242</v>
      </c>
      <c r="C597" s="6" t="str">
        <f>HYPERLINK("http://www.ncbi.nlm.nih.gov/gene/5764", "5764")</f>
        <v>5764</v>
      </c>
      <c r="D597" t="str">
        <f>"Ptn"</f>
        <v>Ptn</v>
      </c>
      <c r="E597" t="s">
        <v>1854</v>
      </c>
      <c r="F597" t="s">
        <v>1855</v>
      </c>
      <c r="H597" s="518">
        <v>4</v>
      </c>
      <c r="I597" s="465">
        <v>10.339050588128201</v>
      </c>
      <c r="J597" s="434">
        <v>10.531163493467201</v>
      </c>
      <c r="K597" s="324">
        <v>10.5274794383051</v>
      </c>
      <c r="L597" s="2375">
        <v>9.3769309808396901</v>
      </c>
      <c r="M597" s="1653">
        <v>9.4932237859425399</v>
      </c>
      <c r="N597" s="1671">
        <v>9.4402776895784495</v>
      </c>
      <c r="O597" s="915">
        <v>10.814958050653001</v>
      </c>
      <c r="P597" s="1233">
        <v>10.923538987444701</v>
      </c>
      <c r="Q597" s="2376">
        <v>11.0901717317895</v>
      </c>
      <c r="R597" s="720">
        <v>10.322392766863</v>
      </c>
      <c r="S597" s="1296">
        <v>10.263026553606799</v>
      </c>
      <c r="T597" s="1513">
        <v>10.429193374257601</v>
      </c>
    </row>
    <row r="598" spans="1:20">
      <c r="A598" t="s">
        <v>1856</v>
      </c>
      <c r="B598" s="6" t="str">
        <f>HYPERLINK("http://www.ncbi.nlm.nih.gov/gene/67153", "67153")</f>
        <v>67153</v>
      </c>
      <c r="C598" s="6" t="str">
        <f>HYPERLINK("http://www.ncbi.nlm.nih.gov/gene/79621", "79621")</f>
        <v>79621</v>
      </c>
      <c r="D598" t="str">
        <f>"Rnaseh2b"</f>
        <v>Rnaseh2b</v>
      </c>
      <c r="E598" t="s">
        <v>1857</v>
      </c>
      <c r="F598" t="s">
        <v>1858</v>
      </c>
      <c r="G598" t="s">
        <v>1859</v>
      </c>
      <c r="H598" s="518">
        <v>4</v>
      </c>
      <c r="I598" s="401">
        <v>7.3221051383120699</v>
      </c>
      <c r="J598" s="339">
        <v>7.3341293536534504</v>
      </c>
      <c r="K598" s="325">
        <v>7.4099552306733099</v>
      </c>
      <c r="L598" s="2375">
        <v>6.1294490267028401</v>
      </c>
      <c r="M598" s="1160">
        <v>6.2952913487787603</v>
      </c>
      <c r="N598" s="1729">
        <v>6.1507776891106403</v>
      </c>
      <c r="O598" s="1514">
        <v>7.8183104053973498</v>
      </c>
      <c r="P598" s="967">
        <v>7.68914870112381</v>
      </c>
      <c r="Q598" s="2377">
        <v>7.8816668768469702</v>
      </c>
      <c r="R598" s="1251">
        <v>7.17224157074505</v>
      </c>
      <c r="S598" s="835">
        <v>7.1153913970951796</v>
      </c>
      <c r="T598" s="1388">
        <v>7.0444882841337098</v>
      </c>
    </row>
    <row r="599" spans="1:20">
      <c r="A599" t="s">
        <v>1860</v>
      </c>
      <c r="B599" s="6" t="str">
        <f>HYPERLINK("http://www.ncbi.nlm.nih.gov/gene/30785", "30785")</f>
        <v>30785</v>
      </c>
      <c r="C599" s="6" t="str">
        <f>HYPERLINK("http://www.ncbi.nlm.nih.gov/gene/83992", "83992")</f>
        <v>83992</v>
      </c>
      <c r="D599" t="str">
        <f>"Cttnbp2"</f>
        <v>Cttnbp2</v>
      </c>
      <c r="E599" t="s">
        <v>1861</v>
      </c>
      <c r="F599" t="s">
        <v>1862</v>
      </c>
      <c r="H599" s="518">
        <v>4</v>
      </c>
      <c r="I599" s="230">
        <v>5.8695326884885599</v>
      </c>
      <c r="J599" s="249">
        <v>5.7958233347382899</v>
      </c>
      <c r="K599" s="282">
        <v>6.0071290967297903</v>
      </c>
      <c r="L599" s="2152">
        <v>3.4928500664699502</v>
      </c>
      <c r="M599" s="1558">
        <v>3.7220829833027298</v>
      </c>
      <c r="N599" s="1021">
        <v>3.8508037245489501</v>
      </c>
      <c r="O599" s="1515">
        <v>7.0588020512682901</v>
      </c>
      <c r="P599" s="823">
        <v>7.2426490350375801</v>
      </c>
      <c r="Q599" s="1938">
        <v>7.2706675631079003</v>
      </c>
      <c r="R599" s="833">
        <v>5.5954117939711496</v>
      </c>
      <c r="S599" s="658">
        <v>5.4558366412415502</v>
      </c>
      <c r="T599" s="1516">
        <v>5.5257255367146803</v>
      </c>
    </row>
    <row r="600" spans="1:20">
      <c r="A600" t="s">
        <v>1863</v>
      </c>
      <c r="B600" s="6" t="str">
        <f>HYPERLINK("http://www.ncbi.nlm.nih.gov/gene/231633", "231633")</f>
        <v>231633</v>
      </c>
      <c r="C600" s="6" t="str">
        <f>HYPERLINK("http://www.ncbi.nlm.nih.gov/gene/338773", "338773")</f>
        <v>338773</v>
      </c>
      <c r="D600" t="str">
        <f>"Tmem119"</f>
        <v>Tmem119</v>
      </c>
      <c r="E600" t="s">
        <v>1864</v>
      </c>
      <c r="F600" t="s">
        <v>37</v>
      </c>
      <c r="H600" s="518">
        <v>4</v>
      </c>
      <c r="I600" s="219">
        <v>7.4781846067529996</v>
      </c>
      <c r="J600" s="230">
        <v>7.5619656669694404</v>
      </c>
      <c r="K600" s="259">
        <v>7.5546329944284896</v>
      </c>
      <c r="L600" s="2152">
        <v>5.8509978238323699</v>
      </c>
      <c r="M600" s="1594">
        <v>6.0495178083060397</v>
      </c>
      <c r="N600" s="1563">
        <v>6.0918808743986803</v>
      </c>
      <c r="O600" s="1517">
        <v>8.58735391171248</v>
      </c>
      <c r="P600" s="714">
        <v>8.5202001412720705</v>
      </c>
      <c r="Q600" s="2349">
        <v>8.5054064829120097</v>
      </c>
      <c r="R600" s="1297">
        <v>7.5099501028137103</v>
      </c>
      <c r="S600" s="830">
        <v>7.3170346949856402</v>
      </c>
      <c r="T600" s="1518">
        <v>7.2796685190910599</v>
      </c>
    </row>
    <row r="601" spans="1:20">
      <c r="A601" t="s">
        <v>1865</v>
      </c>
      <c r="B601" s="6" t="str">
        <f>HYPERLINK("http://www.ncbi.nlm.nih.gov/gene/108151", "108151")</f>
        <v>108151</v>
      </c>
      <c r="C601" s="6" t="str">
        <f>HYPERLINK("http://www.ncbi.nlm.nih.gov/gene/223117", "223117")</f>
        <v>223117</v>
      </c>
      <c r="D601" t="str">
        <f>"Sema3d"</f>
        <v>Sema3d</v>
      </c>
      <c r="E601" t="s">
        <v>1843</v>
      </c>
      <c r="F601" t="s">
        <v>1869</v>
      </c>
      <c r="G601" t="s">
        <v>604</v>
      </c>
      <c r="H601" s="518">
        <v>4</v>
      </c>
      <c r="I601" s="163">
        <v>5.2778135963680102</v>
      </c>
      <c r="J601" s="333">
        <v>5.18362164076464</v>
      </c>
      <c r="K601" s="480">
        <v>5.2912473735718804</v>
      </c>
      <c r="L601" s="2336">
        <v>3.5966908896004699</v>
      </c>
      <c r="M601" s="1826">
        <v>3.71745694203153</v>
      </c>
      <c r="N601" s="1439">
        <v>4.2709522621881604</v>
      </c>
      <c r="O601" s="1519">
        <v>5.9927596338165596</v>
      </c>
      <c r="P601" s="548">
        <v>6.0463006781858502</v>
      </c>
      <c r="Q601" s="2378">
        <v>6.3413302215162597</v>
      </c>
      <c r="R601" s="1297">
        <v>5.2704861033009403</v>
      </c>
      <c r="S601" s="916">
        <v>5.32177527907995</v>
      </c>
      <c r="T601" s="1520">
        <v>5.22738733426905</v>
      </c>
    </row>
    <row r="602" spans="1:20">
      <c r="A602" t="s">
        <v>1870</v>
      </c>
      <c r="B602" s="6" t="str">
        <f>HYPERLINK("http://www.ncbi.nlm.nih.gov/gene/211378", "211378")</f>
        <v>211378</v>
      </c>
      <c r="C602" s="6" t="str">
        <f>HYPERLINK("http://www.ncbi.nlm.nih.gov/gene/", "")</f>
        <v/>
      </c>
      <c r="D602" t="str">
        <f>"6720489N17Rik"</f>
        <v>6720489N17Rik</v>
      </c>
      <c r="E602" t="s">
        <v>1871</v>
      </c>
      <c r="F602" t="s">
        <v>90</v>
      </c>
      <c r="H602" s="518">
        <v>4</v>
      </c>
      <c r="I602" s="451">
        <v>4.02277759152744</v>
      </c>
      <c r="J602" s="437">
        <v>3.7060697054654201</v>
      </c>
      <c r="K602" s="76">
        <v>3.4735486756330598</v>
      </c>
      <c r="L602" s="2355">
        <v>1.5341925136072001</v>
      </c>
      <c r="M602" s="1321">
        <v>2.36301380084686</v>
      </c>
      <c r="N602" s="1281">
        <v>2.6134967219266101</v>
      </c>
      <c r="O602" s="1521">
        <v>4.2926616367647004</v>
      </c>
      <c r="P602" s="899">
        <v>3.9314039484829699</v>
      </c>
      <c r="Q602" s="1899">
        <v>4.6498705004384897</v>
      </c>
      <c r="R602" s="899">
        <v>3.9314039484829699</v>
      </c>
      <c r="S602" s="626">
        <v>3.5829600026809998</v>
      </c>
      <c r="T602" s="588">
        <v>3.0045296926322802</v>
      </c>
    </row>
    <row r="603" spans="1:20">
      <c r="A603" t="s">
        <v>1872</v>
      </c>
      <c r="B603" s="6" t="str">
        <f>HYPERLINK("http://www.ncbi.nlm.nih.gov/gene/320825", "320825")</f>
        <v>320825</v>
      </c>
      <c r="C603" s="6" t="str">
        <f>HYPERLINK("http://www.ncbi.nlm.nih.gov/gene/389432", "389432")</f>
        <v>389432</v>
      </c>
      <c r="D603" t="str">
        <f>"Samd5"</f>
        <v>Samd5</v>
      </c>
      <c r="E603" t="s">
        <v>1845</v>
      </c>
      <c r="F603" t="s">
        <v>90</v>
      </c>
      <c r="H603" s="518">
        <v>4</v>
      </c>
      <c r="I603" s="398">
        <v>7.8712114891376901</v>
      </c>
      <c r="J603" s="402">
        <v>7.82200259570965</v>
      </c>
      <c r="K603" s="375">
        <v>7.8450137333915704</v>
      </c>
      <c r="L603" s="2374">
        <v>6.1546869977377403</v>
      </c>
      <c r="M603" s="1593">
        <v>6.2305806930904897</v>
      </c>
      <c r="N603" s="1699">
        <v>6.1227781213727503</v>
      </c>
      <c r="O603" s="894">
        <v>7.5705477806447803</v>
      </c>
      <c r="P603" s="955">
        <v>7.5104719188424598</v>
      </c>
      <c r="Q603" s="2188">
        <v>7.3206689683420896</v>
      </c>
      <c r="R603" s="955">
        <v>7.5108579889161202</v>
      </c>
      <c r="S603" s="875">
        <v>7.5571802404875896</v>
      </c>
      <c r="T603" s="1522">
        <v>7.3326279332689799</v>
      </c>
    </row>
    <row r="604" spans="1:20">
      <c r="A604" t="s">
        <v>1846</v>
      </c>
      <c r="B604" s="6" t="str">
        <f>HYPERLINK("http://www.ncbi.nlm.nih.gov/gene/13380", "13380")</f>
        <v>13380</v>
      </c>
      <c r="C604" s="6" t="str">
        <f>HYPERLINK("http://www.ncbi.nlm.nih.gov/gene/22943", "22943")</f>
        <v>22943</v>
      </c>
      <c r="D604" t="str">
        <f>"Dkk1"</f>
        <v>Dkk1</v>
      </c>
      <c r="E604" t="s">
        <v>1847</v>
      </c>
      <c r="F604" t="s">
        <v>1866</v>
      </c>
      <c r="G604" t="s">
        <v>611</v>
      </c>
      <c r="H604" s="518">
        <v>4</v>
      </c>
      <c r="I604" s="494">
        <v>8.6770275029981896</v>
      </c>
      <c r="J604" s="418">
        <v>8.6108461306499002</v>
      </c>
      <c r="K604" s="158">
        <v>8.8889025521114196</v>
      </c>
      <c r="L604" s="2336">
        <v>5.5744737754895803</v>
      </c>
      <c r="M604" s="1317">
        <v>6.0692401411574703</v>
      </c>
      <c r="N604" s="1694">
        <v>5.6687372347781304</v>
      </c>
      <c r="O604" s="1523">
        <v>8.2807175109352702</v>
      </c>
      <c r="P604" s="764">
        <v>8.1246978909907295</v>
      </c>
      <c r="Q604" s="2116">
        <v>7.8646696422536699</v>
      </c>
      <c r="R604" s="946">
        <v>8.4704442920396499</v>
      </c>
      <c r="S604" s="882">
        <v>8.3382603194884499</v>
      </c>
      <c r="T604" s="921">
        <v>8.0951633058530295</v>
      </c>
    </row>
    <row r="605" spans="1:20">
      <c r="A605" t="s">
        <v>1867</v>
      </c>
      <c r="B605" s="6" t="str">
        <f>HYPERLINK("http://www.ncbi.nlm.nih.gov/gene/18074", "18074")</f>
        <v>18074</v>
      </c>
      <c r="C605" s="6" t="str">
        <f>HYPERLINK("http://www.ncbi.nlm.nih.gov/gene/22795", "22795")</f>
        <v>22795</v>
      </c>
      <c r="D605" t="str">
        <f>"Nid2"</f>
        <v>Nid2</v>
      </c>
      <c r="E605" t="s">
        <v>1868</v>
      </c>
      <c r="F605" t="s">
        <v>1873</v>
      </c>
      <c r="H605" s="518">
        <v>4</v>
      </c>
      <c r="I605" s="383">
        <v>7.9933665776774401</v>
      </c>
      <c r="J605" s="419">
        <v>7.75579291785282</v>
      </c>
      <c r="K605" s="364">
        <v>7.7825084785716898</v>
      </c>
      <c r="L605" s="2379">
        <v>4.8788878203130697</v>
      </c>
      <c r="M605" s="1664">
        <v>5.2036877084294</v>
      </c>
      <c r="N605" s="1693">
        <v>4.91060928831934</v>
      </c>
      <c r="O605" s="1524">
        <v>7.5307107377346796</v>
      </c>
      <c r="P605" s="887">
        <v>7.4909579682784102</v>
      </c>
      <c r="Q605" s="2293">
        <v>7.6385350863492301</v>
      </c>
      <c r="R605" s="1457">
        <v>7.8982848743107903</v>
      </c>
      <c r="S605" s="974">
        <v>7.8741009218595801</v>
      </c>
      <c r="T605" s="1525">
        <v>7.55046363715807</v>
      </c>
    </row>
    <row r="606" spans="1:20">
      <c r="A606" t="s">
        <v>1874</v>
      </c>
      <c r="B606" s="6" t="str">
        <f>HYPERLINK("http://www.ncbi.nlm.nih.gov/gene/237979", "237979")</f>
        <v>237979</v>
      </c>
      <c r="C606" s="6" t="str">
        <f>HYPERLINK("http://www.ncbi.nlm.nih.gov/gene/54549", "54549")</f>
        <v>54549</v>
      </c>
      <c r="D606" t="str">
        <f>"Sdk2"</f>
        <v>Sdk2</v>
      </c>
      <c r="E606" t="s">
        <v>1875</v>
      </c>
      <c r="F606" t="s">
        <v>590</v>
      </c>
      <c r="H606" s="518">
        <v>4</v>
      </c>
      <c r="I606" s="448">
        <v>7.1716842672250598</v>
      </c>
      <c r="J606" s="435">
        <v>6.9111794814708096</v>
      </c>
      <c r="K606" s="340">
        <v>6.9790002091043499</v>
      </c>
      <c r="L606" s="2152">
        <v>4.86962835912815</v>
      </c>
      <c r="M606" s="1715">
        <v>4.8684189596697003</v>
      </c>
      <c r="N606" s="2303">
        <v>4.7921603990612596</v>
      </c>
      <c r="O606" s="1263">
        <v>6.6466901941584702</v>
      </c>
      <c r="P606" s="1454">
        <v>6.6204053405814003</v>
      </c>
      <c r="Q606" s="2380">
        <v>6.6658197083634603</v>
      </c>
      <c r="R606" s="938">
        <v>7.1290693169487298</v>
      </c>
      <c r="S606" s="1301">
        <v>6.6296633942066201</v>
      </c>
      <c r="T606" s="765">
        <v>6.5857570097218296</v>
      </c>
    </row>
    <row r="607" spans="1:20">
      <c r="A607" t="s">
        <v>1876</v>
      </c>
      <c r="B607" s="6" t="str">
        <f>HYPERLINK("http://www.ncbi.nlm.nih.gov/gene/21961", "21961")</f>
        <v>21961</v>
      </c>
      <c r="C607" s="6" t="str">
        <f>HYPERLINK("http://www.ncbi.nlm.nih.gov/gene/7145", "7145")</f>
        <v>7145</v>
      </c>
      <c r="D607" t="str">
        <f>"Tns1"</f>
        <v>Tns1</v>
      </c>
      <c r="E607" t="s">
        <v>1877</v>
      </c>
      <c r="F607" t="s">
        <v>1878</v>
      </c>
      <c r="H607" s="518">
        <v>4</v>
      </c>
      <c r="I607" s="412">
        <v>7.8012608214359096</v>
      </c>
      <c r="J607" s="380">
        <v>7.7002591098111504</v>
      </c>
      <c r="K607" s="417">
        <v>7.60201928773939</v>
      </c>
      <c r="L607" s="2381">
        <v>5.6313030299225204</v>
      </c>
      <c r="M607" s="1682">
        <v>5.7939523935343402</v>
      </c>
      <c r="N607" s="1693">
        <v>5.5851622627228004</v>
      </c>
      <c r="O607" s="1526">
        <v>7.3840371178855904</v>
      </c>
      <c r="P607" s="955">
        <v>7.37993013035301</v>
      </c>
      <c r="Q607" s="1960">
        <v>7.5833436589443401</v>
      </c>
      <c r="R607" s="924">
        <v>7.5417068343452396</v>
      </c>
      <c r="S607" s="916">
        <v>7.2174501004457197</v>
      </c>
      <c r="T607" s="1527">
        <v>7.1673098111169802</v>
      </c>
    </row>
    <row r="608" spans="1:20">
      <c r="A608" t="s">
        <v>1879</v>
      </c>
      <c r="B608" s="6" t="str">
        <f>HYPERLINK("http://www.ncbi.nlm.nih.gov/gene/16523", "16523")</f>
        <v>16523</v>
      </c>
      <c r="C608" s="6" t="str">
        <f>HYPERLINK("http://www.ncbi.nlm.nih.gov/gene/3764", "3764")</f>
        <v>3764</v>
      </c>
      <c r="D608" t="str">
        <f>"Kcnj8"</f>
        <v>Kcnj8</v>
      </c>
      <c r="E608" t="s">
        <v>1880</v>
      </c>
      <c r="F608" t="s">
        <v>1881</v>
      </c>
      <c r="H608" s="518">
        <v>4</v>
      </c>
      <c r="I608" s="348">
        <v>6.3263487567638501</v>
      </c>
      <c r="J608" s="326">
        <v>6.2398730136807403</v>
      </c>
      <c r="K608" s="364">
        <v>6.3832494064795098</v>
      </c>
      <c r="L608" s="2072">
        <v>5.1253267936062201</v>
      </c>
      <c r="M608" s="1663">
        <v>4.31339433345254</v>
      </c>
      <c r="N608" s="1833">
        <v>4.2939012610258098</v>
      </c>
      <c r="O608" s="1528">
        <v>6.2568007094833904</v>
      </c>
      <c r="P608" s="938">
        <v>6.6122564576996998</v>
      </c>
      <c r="Q608" s="2380">
        <v>6.1971725891350697</v>
      </c>
      <c r="R608" s="763">
        <v>6.1888043391138199</v>
      </c>
      <c r="S608" s="820">
        <v>6.22205360414259</v>
      </c>
      <c r="T608" s="943">
        <v>6.4857967103831404</v>
      </c>
    </row>
    <row r="609" spans="1:20">
      <c r="A609" t="s">
        <v>1882</v>
      </c>
      <c r="B609" s="6" t="str">
        <f>HYPERLINK("http://www.ncbi.nlm.nih.gov/gene/73094", "73094")</f>
        <v>73094</v>
      </c>
      <c r="C609" s="6" t="str">
        <f>HYPERLINK("http://www.ncbi.nlm.nih.gov/gene/84251", "84251")</f>
        <v>84251</v>
      </c>
      <c r="D609" t="str">
        <f>"Sgip1"</f>
        <v>Sgip1</v>
      </c>
      <c r="E609" t="s">
        <v>1883</v>
      </c>
      <c r="F609" t="s">
        <v>1884</v>
      </c>
      <c r="H609" s="518">
        <v>4</v>
      </c>
      <c r="I609" s="383">
        <v>6.3702095098175704</v>
      </c>
      <c r="J609" s="396">
        <v>6.2683409700745001</v>
      </c>
      <c r="K609" s="325">
        <v>6.2080552273914504</v>
      </c>
      <c r="L609" s="2112">
        <v>5.0743524290315296</v>
      </c>
      <c r="M609" s="2382">
        <v>4.8045945108623096</v>
      </c>
      <c r="N609" s="1564">
        <v>5.0991945157002903</v>
      </c>
      <c r="O609" s="884">
        <v>6.2364440504088199</v>
      </c>
      <c r="P609" s="905">
        <v>6.2675115498206297</v>
      </c>
      <c r="Q609" s="1839">
        <v>6.3935819890644403</v>
      </c>
      <c r="R609" s="916">
        <v>6.0583670120222699</v>
      </c>
      <c r="S609" s="875">
        <v>6.2031112345662898</v>
      </c>
      <c r="T609" s="1529">
        <v>6.1899559123514898</v>
      </c>
    </row>
    <row r="610" spans="1:20">
      <c r="A610" t="s">
        <v>1885</v>
      </c>
      <c r="B610" s="6" t="str">
        <f>HYPERLINK("http://www.ncbi.nlm.nih.gov/gene/75974", "75974")</f>
        <v>75974</v>
      </c>
      <c r="C610" s="6" t="str">
        <f>HYPERLINK("http://www.ncbi.nlm.nih.gov/gene/139818", "139818")</f>
        <v>139818</v>
      </c>
      <c r="D610" t="str">
        <f>"Dock11"</f>
        <v>Dock11</v>
      </c>
      <c r="E610" t="s">
        <v>1886</v>
      </c>
      <c r="F610" t="s">
        <v>1887</v>
      </c>
      <c r="H610" s="518">
        <v>4</v>
      </c>
      <c r="I610" s="362">
        <v>6.6347162630999597</v>
      </c>
      <c r="J610" s="275">
        <v>6.4139251136565498</v>
      </c>
      <c r="K610" s="359">
        <v>6.6592027629699704</v>
      </c>
      <c r="L610" s="2383">
        <v>4.7640223120108498</v>
      </c>
      <c r="M610" s="1778">
        <v>4.83731293197539</v>
      </c>
      <c r="N610" s="1447">
        <v>5.2197358998708401</v>
      </c>
      <c r="O610" s="1530">
        <v>6.4430363741054197</v>
      </c>
      <c r="P610" s="801">
        <v>6.45596120456102</v>
      </c>
      <c r="Q610" s="2018">
        <v>6.54957273153898</v>
      </c>
      <c r="R610" s="899">
        <v>6.5064247207005597</v>
      </c>
      <c r="S610" s="801">
        <v>6.4564327647273601</v>
      </c>
      <c r="T610" s="1531">
        <v>6.2815658854577698</v>
      </c>
    </row>
    <row r="611" spans="1:20">
      <c r="A611" t="s">
        <v>1888</v>
      </c>
      <c r="B611" s="6" t="str">
        <f>HYPERLINK("http://www.ncbi.nlm.nih.gov/gene/18595", "18595")</f>
        <v>18595</v>
      </c>
      <c r="C611" s="6" t="str">
        <f>HYPERLINK("http://www.ncbi.nlm.nih.gov/gene/5156", "5156")</f>
        <v>5156</v>
      </c>
      <c r="D611" t="str">
        <f>"Pdgfra"</f>
        <v>Pdgfra</v>
      </c>
      <c r="E611" t="s">
        <v>1889</v>
      </c>
      <c r="F611" t="s">
        <v>1890</v>
      </c>
      <c r="G611" t="s">
        <v>1891</v>
      </c>
      <c r="H611" s="518">
        <v>4</v>
      </c>
      <c r="I611" s="373">
        <v>8.3769067892755302</v>
      </c>
      <c r="J611" s="275">
        <v>8.3048687035232192</v>
      </c>
      <c r="K611" s="431">
        <v>8.4708350026518406</v>
      </c>
      <c r="L611" s="2115">
        <v>3.8308271183050402</v>
      </c>
      <c r="M611" s="1150">
        <v>4.23297459376876</v>
      </c>
      <c r="N611" s="2384">
        <v>3.2887549201635999</v>
      </c>
      <c r="O611" s="1417">
        <v>9.0995410941187096</v>
      </c>
      <c r="P611" s="975">
        <v>9.0643742747167799</v>
      </c>
      <c r="Q611" s="2305">
        <v>9.2683955390430608</v>
      </c>
      <c r="R611" s="966">
        <v>8.1212911812777797</v>
      </c>
      <c r="S611" s="1532">
        <v>8.0363171689984902</v>
      </c>
      <c r="T611" s="1533">
        <v>8.0692827664300495</v>
      </c>
    </row>
    <row r="612" spans="1:20">
      <c r="A612" t="s">
        <v>1892</v>
      </c>
      <c r="B612" s="6" t="str">
        <f>HYPERLINK("http://www.ncbi.nlm.nih.gov/gene/12842", "12842")</f>
        <v>12842</v>
      </c>
      <c r="C612" s="6" t="str">
        <f>HYPERLINK("http://www.ncbi.nlm.nih.gov/gene/1277", "1277")</f>
        <v>1277</v>
      </c>
      <c r="D612" t="str">
        <f>"Col1a1"</f>
        <v>Col1a1</v>
      </c>
      <c r="E612" t="s">
        <v>1893</v>
      </c>
      <c r="F612" t="s">
        <v>1894</v>
      </c>
      <c r="G612" t="s">
        <v>1498</v>
      </c>
      <c r="H612" s="518">
        <v>4</v>
      </c>
      <c r="I612" s="287">
        <v>8.8604794712113808</v>
      </c>
      <c r="J612" s="480">
        <v>8.6234576342321692</v>
      </c>
      <c r="K612" s="421">
        <v>8.7318179397238396</v>
      </c>
      <c r="L612" s="2112">
        <v>6.5698883273124897</v>
      </c>
      <c r="M612" s="1671">
        <v>6.5658602650967799</v>
      </c>
      <c r="N612" s="1724">
        <v>6.1401629415585299</v>
      </c>
      <c r="O612" s="1245">
        <v>9.5169376257644398</v>
      </c>
      <c r="P612" s="923">
        <v>9.4350498889287202</v>
      </c>
      <c r="Q612" s="2385">
        <v>9.5073288220612096</v>
      </c>
      <c r="R612" s="899">
        <v>9.0857666133601107</v>
      </c>
      <c r="S612" s="770">
        <v>8.86528482326068</v>
      </c>
      <c r="T612" s="1533">
        <v>8.7924866411201794</v>
      </c>
    </row>
    <row r="613" spans="1:20">
      <c r="A613" t="s">
        <v>1895</v>
      </c>
      <c r="B613" s="6" t="str">
        <f>HYPERLINK("http://www.ncbi.nlm.nih.gov/gene/66873", "66873")</f>
        <v>66873</v>
      </c>
      <c r="C613" s="6" t="str">
        <f>HYPERLINK("http://www.ncbi.nlm.nih.gov/gene/9865", "9865")</f>
        <v>9865</v>
      </c>
      <c r="D613" t="str">
        <f>"Tril"</f>
        <v>Tril</v>
      </c>
      <c r="E613" t="s">
        <v>1896</v>
      </c>
      <c r="F613" t="s">
        <v>1897</v>
      </c>
      <c r="H613" s="518">
        <v>4</v>
      </c>
      <c r="I613" s="451">
        <v>6.3297429980546696</v>
      </c>
      <c r="J613" s="425">
        <v>6.1186026034181902</v>
      </c>
      <c r="K613" s="418">
        <v>6.3778254425201002</v>
      </c>
      <c r="L613" s="2360">
        <v>4.7104925010978702</v>
      </c>
      <c r="M613" s="1150">
        <v>4.8296992881108798</v>
      </c>
      <c r="N613" s="2334">
        <v>4.4919885105330604</v>
      </c>
      <c r="O613" s="1534">
        <v>6.4042049094722904</v>
      </c>
      <c r="P613" s="862">
        <v>6.3066168199042796</v>
      </c>
      <c r="Q613" s="2289">
        <v>6.2523178445491201</v>
      </c>
      <c r="R613" s="956">
        <v>6.2439189571003597</v>
      </c>
      <c r="S613" s="764">
        <v>6.0854698096035298</v>
      </c>
      <c r="T613" s="1451">
        <v>6.0406020941307101</v>
      </c>
    </row>
    <row r="614" spans="1:20">
      <c r="A614" t="s">
        <v>1898</v>
      </c>
      <c r="B614" s="6" t="str">
        <f>HYPERLINK("http://www.ncbi.nlm.nih.gov/gene/319939", "319939")</f>
        <v>319939</v>
      </c>
      <c r="C614" s="6" t="str">
        <f>HYPERLINK("http://www.ncbi.nlm.nih.gov/gene/64759", "64759")</f>
        <v>64759</v>
      </c>
      <c r="D614" t="str">
        <f>"Tns3"</f>
        <v>Tns3</v>
      </c>
      <c r="E614" t="s">
        <v>1899</v>
      </c>
      <c r="F614" t="s">
        <v>1900</v>
      </c>
      <c r="H614" s="518">
        <v>4</v>
      </c>
      <c r="I614" s="403">
        <v>7.1798915113573401</v>
      </c>
      <c r="J614" s="388">
        <v>7.0781663119586904</v>
      </c>
      <c r="K614" s="276">
        <v>7.0056230762836798</v>
      </c>
      <c r="L614" s="2386">
        <v>5.7767348654438004</v>
      </c>
      <c r="M614" s="1699">
        <v>5.6879590663242103</v>
      </c>
      <c r="N614" s="1433">
        <v>5.70927387209621</v>
      </c>
      <c r="O614" s="1535">
        <v>7.1387918676426603</v>
      </c>
      <c r="P614" s="909">
        <v>7.1098779959430196</v>
      </c>
      <c r="Q614" s="2010">
        <v>7.2472963667649504</v>
      </c>
      <c r="R614" s="901">
        <v>7.0242448310993604</v>
      </c>
      <c r="S614" s="720">
        <v>6.7352239399228298</v>
      </c>
      <c r="T614" s="1522">
        <v>6.7939359568955702</v>
      </c>
    </row>
    <row r="615" spans="1:20">
      <c r="A615" t="s">
        <v>1901</v>
      </c>
      <c r="B615" s="6" t="str">
        <f>HYPERLINK("http://www.ncbi.nlm.nih.gov/gene/74055", "74055")</f>
        <v>74055</v>
      </c>
      <c r="C615" s="6" t="str">
        <f>HYPERLINK("http://www.ncbi.nlm.nih.gov/gene/51196", "51196")</f>
        <v>51196</v>
      </c>
      <c r="D615" t="str">
        <f>"Plce1"</f>
        <v>Plce1</v>
      </c>
      <c r="E615" t="s">
        <v>1902</v>
      </c>
      <c r="F615" t="s">
        <v>1903</v>
      </c>
      <c r="G615" t="s">
        <v>1396</v>
      </c>
      <c r="H615" s="518">
        <v>4</v>
      </c>
      <c r="I615" s="438">
        <v>5.66288841531542</v>
      </c>
      <c r="J615" s="315">
        <v>5.6231514791820496</v>
      </c>
      <c r="K615" s="438">
        <v>5.6659952123066502</v>
      </c>
      <c r="L615" s="2355">
        <v>3.5799523077870199</v>
      </c>
      <c r="M615" s="1565">
        <v>4.0937796613104602</v>
      </c>
      <c r="N615" s="1593">
        <v>3.9896819417102898</v>
      </c>
      <c r="O615" s="1530">
        <v>5.5972728503023497</v>
      </c>
      <c r="P615" s="933">
        <v>5.7732114993841401</v>
      </c>
      <c r="Q615" s="1974">
        <v>5.9699885384847802</v>
      </c>
      <c r="R615" s="820">
        <v>5.5506860559342996</v>
      </c>
      <c r="S615" s="763">
        <v>5.5172177048510296</v>
      </c>
      <c r="T615" s="940">
        <v>5.59078691895935</v>
      </c>
    </row>
    <row r="616" spans="1:20">
      <c r="A616" t="s">
        <v>1904</v>
      </c>
      <c r="B616" s="6" t="str">
        <f>HYPERLINK("http://www.ncbi.nlm.nih.gov/gene/15437", "15437")</f>
        <v>15437</v>
      </c>
      <c r="C616" s="6" t="str">
        <f>HYPERLINK("http://www.ncbi.nlm.nih.gov/gene/3234", "3234")</f>
        <v>3234</v>
      </c>
      <c r="D616" t="str">
        <f>"Hoxd8"</f>
        <v>Hoxd8</v>
      </c>
      <c r="E616" t="s">
        <v>1905</v>
      </c>
      <c r="F616" t="s">
        <v>1906</v>
      </c>
      <c r="H616" s="518">
        <v>4</v>
      </c>
      <c r="I616" s="381">
        <v>4.1775476253058201</v>
      </c>
      <c r="J616" s="402">
        <v>4.20045369334622</v>
      </c>
      <c r="K616" s="134">
        <v>3.6442055168308101</v>
      </c>
      <c r="L616" s="2282">
        <v>3.1751899468880498</v>
      </c>
      <c r="M616" s="1704">
        <v>2.6016789756621601</v>
      </c>
      <c r="N616" s="1188">
        <v>3.1965254129870799</v>
      </c>
      <c r="O616" s="1536">
        <v>4.6728009463536502</v>
      </c>
      <c r="P616" s="528">
        <v>3.6806315733921302</v>
      </c>
      <c r="Q616" s="2034">
        <v>4.1240226815439103</v>
      </c>
      <c r="R616" s="1122">
        <v>3.7439819676825801</v>
      </c>
      <c r="S616" s="910">
        <v>3.5783208522641701</v>
      </c>
      <c r="T616" s="1537">
        <v>3.7923683018060999</v>
      </c>
    </row>
    <row r="617" spans="1:20">
      <c r="A617" t="s">
        <v>1907</v>
      </c>
      <c r="B617" s="6" t="str">
        <f>HYPERLINK("http://www.ncbi.nlm.nih.gov/gene/245578", "245578")</f>
        <v>245578</v>
      </c>
      <c r="C617" s="6" t="str">
        <f>HYPERLINK("http://www.ncbi.nlm.nih.gov/gene/27328", "27328")</f>
        <v>27328</v>
      </c>
      <c r="D617" t="str">
        <f>"Pcdh11x"</f>
        <v>Pcdh11x</v>
      </c>
      <c r="E617" t="s">
        <v>1908</v>
      </c>
      <c r="F617" t="s">
        <v>1909</v>
      </c>
      <c r="H617" s="518">
        <v>4</v>
      </c>
      <c r="I617" s="258">
        <v>6.0501391782781297</v>
      </c>
      <c r="J617" s="287">
        <v>5.6165883905667897</v>
      </c>
      <c r="K617" s="85">
        <v>6.1415520660812701</v>
      </c>
      <c r="L617" s="2310">
        <v>4.7612409043180799</v>
      </c>
      <c r="M617" s="2303">
        <v>4.5207495422830402</v>
      </c>
      <c r="N617" s="1139">
        <v>4.5921794414019397</v>
      </c>
      <c r="O617" s="1538">
        <v>5.7015668829235304</v>
      </c>
      <c r="P617" s="775">
        <v>5.7120201466999303</v>
      </c>
      <c r="Q617" s="2311">
        <v>5.7006731161617799</v>
      </c>
      <c r="R617" s="913">
        <v>5.4495516721623503</v>
      </c>
      <c r="S617" s="854">
        <v>5.3460106185559404</v>
      </c>
      <c r="T617" s="1391">
        <v>5.3896808400921401</v>
      </c>
    </row>
    <row r="618" spans="1:20">
      <c r="A618" t="s">
        <v>1910</v>
      </c>
      <c r="B618" s="6" t="str">
        <f>HYPERLINK("http://www.ncbi.nlm.nih.gov/gene/14165", "14165")</f>
        <v>14165</v>
      </c>
      <c r="C618" s="6" t="str">
        <f>HYPERLINK("http://www.ncbi.nlm.nih.gov/gene/2255", "2255")</f>
        <v>2255</v>
      </c>
      <c r="D618" t="str">
        <f>"Fgf10"</f>
        <v>Fgf10</v>
      </c>
      <c r="E618" t="s">
        <v>1911</v>
      </c>
      <c r="F618" t="s">
        <v>1912</v>
      </c>
      <c r="G618" t="s">
        <v>521</v>
      </c>
      <c r="H618" s="518">
        <v>4</v>
      </c>
      <c r="I618" s="244">
        <v>5.7436219088884801</v>
      </c>
      <c r="J618" s="388">
        <v>5.43437974655376</v>
      </c>
      <c r="K618" s="86">
        <v>5.7645374578317599</v>
      </c>
      <c r="L618" s="2199">
        <v>4.7639858026575297</v>
      </c>
      <c r="M618" s="2268">
        <v>4.0903442277140902</v>
      </c>
      <c r="N618" s="1826">
        <v>4.2629390866272798</v>
      </c>
      <c r="O618" s="1273">
        <v>5.1854444358384404</v>
      </c>
      <c r="P618" s="975">
        <v>5.5237704027356598</v>
      </c>
      <c r="Q618" s="2228">
        <v>5.2013950448489297</v>
      </c>
      <c r="R618" s="779">
        <v>5.0583044258481102</v>
      </c>
      <c r="S618" s="1213">
        <v>5.1862024804684399</v>
      </c>
      <c r="T618" s="1539">
        <v>5.1789993900070197</v>
      </c>
    </row>
    <row r="619" spans="1:20">
      <c r="A619" t="s">
        <v>1935</v>
      </c>
      <c r="B619" s="6" t="str">
        <f>HYPERLINK("http://www.ncbi.nlm.nih.gov/gene/215789", "215789")</f>
        <v>215789</v>
      </c>
      <c r="C619" s="6" t="str">
        <f>HYPERLINK("http://www.ncbi.nlm.nih.gov/gene/9749", "9749")</f>
        <v>9749</v>
      </c>
      <c r="D619" t="str">
        <f>"Phactr2"</f>
        <v>Phactr2</v>
      </c>
      <c r="E619" t="s">
        <v>1936</v>
      </c>
      <c r="F619" t="s">
        <v>90</v>
      </c>
      <c r="H619" s="518">
        <v>4</v>
      </c>
      <c r="I619" s="334">
        <v>7.0376757693242897</v>
      </c>
      <c r="J619" s="369">
        <v>7.0718375788867203</v>
      </c>
      <c r="K619" s="380">
        <v>7.0242386696817896</v>
      </c>
      <c r="L619" s="2387">
        <v>6.0821983998102702</v>
      </c>
      <c r="M619" s="1800">
        <v>5.7229668479570996</v>
      </c>
      <c r="N619" s="1445">
        <v>5.9153475167443998</v>
      </c>
      <c r="O619" s="1471">
        <v>6.8287163397753696</v>
      </c>
      <c r="P619" s="961">
        <v>6.9293256698890202</v>
      </c>
      <c r="Q619" s="2388">
        <v>7.2890413226800401</v>
      </c>
      <c r="R619" s="1296">
        <v>6.5971720644013496</v>
      </c>
      <c r="S619" s="699">
        <v>6.4550529665777496</v>
      </c>
      <c r="T619" s="1518">
        <v>6.5857882181517704</v>
      </c>
    </row>
    <row r="620" spans="1:20">
      <c r="A620" t="s">
        <v>1937</v>
      </c>
      <c r="B620" s="6" t="str">
        <f>HYPERLINK("http://www.ncbi.nlm.nih.gov/gene/408066", "408066")</f>
        <v>408066</v>
      </c>
      <c r="C620" s="6" t="str">
        <f>HYPERLINK("http://www.ncbi.nlm.nih.gov/gene/", "")</f>
        <v/>
      </c>
      <c r="D620" t="str">
        <f>"BC067074"</f>
        <v>BC067074</v>
      </c>
      <c r="E620" t="s">
        <v>1938</v>
      </c>
      <c r="F620" t="s">
        <v>90</v>
      </c>
      <c r="H620" s="518">
        <v>4</v>
      </c>
      <c r="I620" s="316">
        <v>5.45191688504908</v>
      </c>
      <c r="J620" s="413">
        <v>5.1281215831044902</v>
      </c>
      <c r="K620" s="396">
        <v>4.9901701498881996</v>
      </c>
      <c r="L620" s="2306">
        <v>3.88456716400932</v>
      </c>
      <c r="M620" s="1778">
        <v>3.6799891620837202</v>
      </c>
      <c r="N620" s="1367">
        <v>4.2739450758733497</v>
      </c>
      <c r="O620" s="1540">
        <v>4.96787698631758</v>
      </c>
      <c r="P620" s="961">
        <v>4.9969804681507197</v>
      </c>
      <c r="Q620" s="2298">
        <v>5.1243829697655796</v>
      </c>
      <c r="R620" s="1087">
        <v>4.1710583161943502</v>
      </c>
      <c r="S620" s="1454">
        <v>4.8450408006599703</v>
      </c>
      <c r="T620" s="897">
        <v>4.4583720881739701</v>
      </c>
    </row>
    <row r="621" spans="1:20">
      <c r="A621" t="s">
        <v>1939</v>
      </c>
      <c r="B621" s="6" t="str">
        <f>HYPERLINK("http://www.ncbi.nlm.nih.gov/gene/12293", "12293")</f>
        <v>12293</v>
      </c>
      <c r="C621" s="6" t="str">
        <f>HYPERLINK("http://www.ncbi.nlm.nih.gov/gene/781", "781")</f>
        <v>781</v>
      </c>
      <c r="D621" t="str">
        <f>"Cacna2d1"</f>
        <v>Cacna2d1</v>
      </c>
      <c r="E621" t="s">
        <v>1940</v>
      </c>
      <c r="F621" t="s">
        <v>1913</v>
      </c>
      <c r="G621" t="s">
        <v>467</v>
      </c>
      <c r="H621" s="518">
        <v>4</v>
      </c>
      <c r="I621" s="457">
        <v>6.7857332670119304</v>
      </c>
      <c r="J621" s="357">
        <v>6.6069654142259102</v>
      </c>
      <c r="K621" s="475">
        <v>6.7817062014672498</v>
      </c>
      <c r="L621" s="2389">
        <v>5.2377313105485399</v>
      </c>
      <c r="M621" s="1327">
        <v>5.44168465385291</v>
      </c>
      <c r="N621" s="1563">
        <v>5.3655860527410502</v>
      </c>
      <c r="O621" s="1425">
        <v>6.2973415987852102</v>
      </c>
      <c r="P621" s="827">
        <v>6.3285924709672603</v>
      </c>
      <c r="Q621" s="2030">
        <v>6.4810873305961598</v>
      </c>
      <c r="R621" s="649">
        <v>6.0163297840999004</v>
      </c>
      <c r="S621" s="793">
        <v>6.0066627711142999</v>
      </c>
      <c r="T621" s="1355">
        <v>5.78833671301786</v>
      </c>
    </row>
    <row r="622" spans="1:20">
      <c r="A622" t="s">
        <v>1914</v>
      </c>
      <c r="B622" s="6" t="str">
        <f>HYPERLINK("http://www.ncbi.nlm.nih.gov/gene/74123", "74123")</f>
        <v>74123</v>
      </c>
      <c r="C622" s="6" t="str">
        <f>HYPERLINK("http://www.ncbi.nlm.nih.gov/gene/116113", "116113")</f>
        <v>116113</v>
      </c>
      <c r="D622" t="str">
        <f>"Foxp4"</f>
        <v>Foxp4</v>
      </c>
      <c r="E622" t="s">
        <v>1915</v>
      </c>
      <c r="F622" t="s">
        <v>1916</v>
      </c>
      <c r="H622" s="518">
        <v>4</v>
      </c>
      <c r="I622" s="457">
        <v>7.3597618657006798</v>
      </c>
      <c r="J622" s="379">
        <v>7.1659195890770304</v>
      </c>
      <c r="K622" s="346">
        <v>7.2514480725160801</v>
      </c>
      <c r="L622" s="2301">
        <v>5.4852328433539101</v>
      </c>
      <c r="M622" s="1139">
        <v>5.4799028588596199</v>
      </c>
      <c r="N622" s="1010">
        <v>5.7784983148180897</v>
      </c>
      <c r="O622" s="1541">
        <v>6.8862447937300804</v>
      </c>
      <c r="P622" s="844">
        <v>6.9949108168288801</v>
      </c>
      <c r="Q622" s="2390">
        <v>6.7905625179099802</v>
      </c>
      <c r="R622" s="1326">
        <v>6.3809368502314596</v>
      </c>
      <c r="S622" s="832">
        <v>6.2085410953912596</v>
      </c>
      <c r="T622" s="664">
        <v>6.3683405167437197</v>
      </c>
    </row>
    <row r="623" spans="1:20">
      <c r="A623" t="s">
        <v>1917</v>
      </c>
      <c r="B623" s="6" t="str">
        <f>HYPERLINK("http://www.ncbi.nlm.nih.gov/gene/68732", "68732")</f>
        <v>68732</v>
      </c>
      <c r="C623" s="6" t="str">
        <f>HYPERLINK("http://www.ncbi.nlm.nih.gov/gene/55604", "55604")</f>
        <v>55604</v>
      </c>
      <c r="D623" t="str">
        <f>"Lrrc16a"</f>
        <v>Lrrc16a</v>
      </c>
      <c r="E623" t="s">
        <v>1918</v>
      </c>
      <c r="F623" t="s">
        <v>1930</v>
      </c>
      <c r="H623" s="518">
        <v>4</v>
      </c>
      <c r="I623" s="280">
        <v>6.5545807539245899</v>
      </c>
      <c r="J623" s="347">
        <v>6.3122326144052998</v>
      </c>
      <c r="K623" s="368">
        <v>6.48214626792599</v>
      </c>
      <c r="L623" s="2227">
        <v>5.0410317542037602</v>
      </c>
      <c r="M623" s="1724">
        <v>4.70343763396684</v>
      </c>
      <c r="N623" s="1147">
        <v>5.1155363075544003</v>
      </c>
      <c r="O623" s="1542">
        <v>6.0895292124016303</v>
      </c>
      <c r="P623" s="1305">
        <v>6.0003037150296299</v>
      </c>
      <c r="Q623" s="2391">
        <v>6.0903493673684403</v>
      </c>
      <c r="R623" s="1326">
        <v>5.6652558663631796</v>
      </c>
      <c r="S623" s="700">
        <v>5.6851951235962401</v>
      </c>
      <c r="T623" s="1543">
        <v>5.6485936811411204</v>
      </c>
    </row>
    <row r="624" spans="1:20">
      <c r="A624" t="s">
        <v>1931</v>
      </c>
      <c r="B624" s="6" t="str">
        <f>HYPERLINK("http://www.ncbi.nlm.nih.gov/gene/104681", "104681")</f>
        <v>104681</v>
      </c>
      <c r="C624" s="6" t="str">
        <f>HYPERLINK("http://www.ncbi.nlm.nih.gov/gene/9120", "9120")</f>
        <v>9120</v>
      </c>
      <c r="D624" t="str">
        <f>"Slc16a6"</f>
        <v>Slc16a6</v>
      </c>
      <c r="E624" t="s">
        <v>1932</v>
      </c>
      <c r="F624" t="s">
        <v>1807</v>
      </c>
      <c r="H624" s="518">
        <v>4</v>
      </c>
      <c r="I624" s="274">
        <v>5.2821367764839602</v>
      </c>
      <c r="J624" s="276">
        <v>4.8501240156290102</v>
      </c>
      <c r="K624" s="143">
        <v>5.3927821120120596</v>
      </c>
      <c r="L624" s="2273">
        <v>3.8589868968954901</v>
      </c>
      <c r="M624" s="1150">
        <v>3.8716960753984901</v>
      </c>
      <c r="N624" s="1289">
        <v>4.0998318632994497</v>
      </c>
      <c r="O624" s="1474">
        <v>4.9745221590854598</v>
      </c>
      <c r="P624" s="961">
        <v>4.9040646743317504</v>
      </c>
      <c r="Q624" s="2022">
        <v>4.7716360751262403</v>
      </c>
      <c r="R624" s="629">
        <v>4.4465476777742596</v>
      </c>
      <c r="S624" s="851">
        <v>4.3094477955503603</v>
      </c>
      <c r="T624" s="1356">
        <v>4.4171661539133504</v>
      </c>
    </row>
    <row r="625" spans="1:20">
      <c r="A625" t="s">
        <v>1933</v>
      </c>
      <c r="B625" s="6" t="str">
        <f>HYPERLINK("http://www.ncbi.nlm.nih.gov/gene/60596", "60596")</f>
        <v>60596</v>
      </c>
      <c r="C625" s="6" t="str">
        <f>HYPERLINK("http://www.ncbi.nlm.nih.gov/gene/2982", "2982")</f>
        <v>2982</v>
      </c>
      <c r="D625" t="str">
        <f>"Gucy1a3"</f>
        <v>Gucy1a3</v>
      </c>
      <c r="E625" t="s">
        <v>1934</v>
      </c>
      <c r="F625" t="s">
        <v>1926</v>
      </c>
      <c r="G625" t="s">
        <v>1927</v>
      </c>
      <c r="H625" s="518">
        <v>4</v>
      </c>
      <c r="I625" s="103">
        <v>5.9566260273184897</v>
      </c>
      <c r="J625" s="369">
        <v>5.7419569271601398</v>
      </c>
      <c r="K625" s="191">
        <v>5.9694550034755904</v>
      </c>
      <c r="L625" s="2392">
        <v>4.6225410978617596</v>
      </c>
      <c r="M625" s="1308">
        <v>4.9373302986374696</v>
      </c>
      <c r="N625" s="1332">
        <v>4.9728028367964097</v>
      </c>
      <c r="O625" s="1542">
        <v>5.5857772504484098</v>
      </c>
      <c r="P625" s="1485">
        <v>5.5831377683757299</v>
      </c>
      <c r="Q625" s="2393">
        <v>5.4767927474890898</v>
      </c>
      <c r="R625" s="1223">
        <v>5.0758974558764596</v>
      </c>
      <c r="S625" s="869">
        <v>5.2677551177812996</v>
      </c>
      <c r="T625" s="897">
        <v>5.2087071741097697</v>
      </c>
    </row>
    <row r="626" spans="1:20">
      <c r="A626" t="s">
        <v>1928</v>
      </c>
      <c r="B626" s="6" t="str">
        <f>HYPERLINK("http://www.ncbi.nlm.nih.gov/gene/19012", "19012")</f>
        <v>19012</v>
      </c>
      <c r="C626" s="6" t="str">
        <f>HYPERLINK("http://www.ncbi.nlm.nih.gov/gene/", "")</f>
        <v/>
      </c>
      <c r="D626" t="str">
        <f>"Ppap2a"</f>
        <v>Ppap2a</v>
      </c>
      <c r="E626" t="s">
        <v>1929</v>
      </c>
      <c r="F626" t="s">
        <v>1919</v>
      </c>
      <c r="G626" t="s">
        <v>1920</v>
      </c>
      <c r="H626" s="518">
        <v>4</v>
      </c>
      <c r="I626" s="445">
        <v>7.8212300326493898</v>
      </c>
      <c r="J626" s="484">
        <v>7.8932743249835697</v>
      </c>
      <c r="K626" s="296">
        <v>7.9771877403023703</v>
      </c>
      <c r="L626" s="2394">
        <v>6.1514967434282504</v>
      </c>
      <c r="M626" s="1144">
        <v>6.2969093550695998</v>
      </c>
      <c r="N626" s="1564">
        <v>6.2993253636386299</v>
      </c>
      <c r="O626" s="983">
        <v>7.6004371397615103</v>
      </c>
      <c r="P626" s="805">
        <v>7.3192471061953501</v>
      </c>
      <c r="Q626" s="1978">
        <v>7.5288645160719003</v>
      </c>
      <c r="R626" s="849">
        <v>7.1377884296591301</v>
      </c>
      <c r="S626" s="1213">
        <v>7.3116503393653796</v>
      </c>
      <c r="T626" s="1544">
        <v>7.3413067210344103</v>
      </c>
    </row>
    <row r="627" spans="1:20">
      <c r="A627" t="s">
        <v>1921</v>
      </c>
      <c r="B627" s="6" t="str">
        <f>HYPERLINK("http://www.ncbi.nlm.nih.gov/gene/12552", "12552")</f>
        <v>12552</v>
      </c>
      <c r="C627" s="6" t="str">
        <f>HYPERLINK("http://www.ncbi.nlm.nih.gov/gene/1009", "1009")</f>
        <v>1009</v>
      </c>
      <c r="D627" t="str">
        <f>"Cdh11"</f>
        <v>Cdh11</v>
      </c>
      <c r="E627" t="s">
        <v>1922</v>
      </c>
      <c r="F627" t="s">
        <v>1923</v>
      </c>
      <c r="H627" s="518">
        <v>4</v>
      </c>
      <c r="I627" s="379">
        <v>10.6418436379673</v>
      </c>
      <c r="J627" s="67">
        <v>10.679969416846999</v>
      </c>
      <c r="K627" s="402">
        <v>10.602808579001399</v>
      </c>
      <c r="L627" s="2395">
        <v>9.5071812740716908</v>
      </c>
      <c r="M627" s="1558">
        <v>9.6746987129520896</v>
      </c>
      <c r="N627" s="1144">
        <v>9.6628167130322602</v>
      </c>
      <c r="O627" s="1270">
        <v>10.3781313121198</v>
      </c>
      <c r="P627" s="966">
        <v>10.3857023844013</v>
      </c>
      <c r="Q627" s="2022">
        <v>10.387808011440899</v>
      </c>
      <c r="R627" s="1226">
        <v>10.2599557517145</v>
      </c>
      <c r="S627" s="862">
        <v>10.5068250864812</v>
      </c>
      <c r="T627" s="1520">
        <v>10.2956956273848</v>
      </c>
    </row>
    <row r="628" spans="1:20">
      <c r="A628" t="s">
        <v>1924</v>
      </c>
      <c r="B628" s="6" t="str">
        <f>HYPERLINK("http://www.ncbi.nlm.nih.gov/gene/18053", "18053")</f>
        <v>18053</v>
      </c>
      <c r="C628" s="6" t="str">
        <f>HYPERLINK("http://www.ncbi.nlm.nih.gov/gene/4804", "4804")</f>
        <v>4804</v>
      </c>
      <c r="D628" t="str">
        <f>"Ngfr"</f>
        <v>Ngfr</v>
      </c>
      <c r="E628" t="s">
        <v>1925</v>
      </c>
      <c r="F628" t="s">
        <v>1941</v>
      </c>
      <c r="G628" t="s">
        <v>1946</v>
      </c>
      <c r="H628" s="518">
        <v>4</v>
      </c>
      <c r="I628" s="280">
        <v>5.1822786081047196</v>
      </c>
      <c r="J628" s="498">
        <v>5.0857116277458996</v>
      </c>
      <c r="K628" s="30">
        <v>4.9271761201802304</v>
      </c>
      <c r="L628" s="2381">
        <v>3.93835106686657</v>
      </c>
      <c r="M628" s="1007">
        <v>4.3071606456029903</v>
      </c>
      <c r="N628" s="2396">
        <v>3.8727438604544102</v>
      </c>
      <c r="O628" s="1275">
        <v>4.7376094365095902</v>
      </c>
      <c r="P628" s="830">
        <v>4.6156284434889701</v>
      </c>
      <c r="Q628" s="1997">
        <v>4.7910727866917497</v>
      </c>
      <c r="R628" s="627">
        <v>4.4791992097954196</v>
      </c>
      <c r="S628" s="844">
        <v>4.9364546321073801</v>
      </c>
      <c r="T628" s="1545">
        <v>4.7220823217994896</v>
      </c>
    </row>
    <row r="629" spans="1:20">
      <c r="A629" t="s">
        <v>1947</v>
      </c>
      <c r="B629" s="6" t="str">
        <f>HYPERLINK("http://www.ncbi.nlm.nih.gov/gene/68010", "68010")</f>
        <v>68010</v>
      </c>
      <c r="C629" s="6" t="str">
        <f>HYPERLINK("http://www.ncbi.nlm.nih.gov/gene/25805", "25805")</f>
        <v>25805</v>
      </c>
      <c r="D629" t="str">
        <f>"Bambi"</f>
        <v>Bambi</v>
      </c>
      <c r="E629" t="s">
        <v>1948</v>
      </c>
      <c r="F629" t="s">
        <v>1949</v>
      </c>
      <c r="H629" s="518">
        <v>4</v>
      </c>
      <c r="I629" s="381">
        <v>9.4102788989043304</v>
      </c>
      <c r="J629" s="358">
        <v>9.5668476862790204</v>
      </c>
      <c r="K629" s="379">
        <v>9.4878799290150493</v>
      </c>
      <c r="L629" s="2338">
        <v>8.1329989320685208</v>
      </c>
      <c r="M629" s="1572">
        <v>8.1848941826612602</v>
      </c>
      <c r="N629" s="1800">
        <v>7.8816946511647004</v>
      </c>
      <c r="O629" s="983">
        <v>9.2677589755377703</v>
      </c>
      <c r="P629" s="909">
        <v>9.3113972610542</v>
      </c>
      <c r="Q629" s="2299">
        <v>9.26329316649446</v>
      </c>
      <c r="R629" s="626">
        <v>9.0297559922325199</v>
      </c>
      <c r="S629" s="832">
        <v>8.66417459002394</v>
      </c>
      <c r="T629" s="646">
        <v>8.9141106792991298</v>
      </c>
    </row>
    <row r="630" spans="1:20">
      <c r="A630" t="s">
        <v>1950</v>
      </c>
      <c r="B630" s="6" t="str">
        <f>HYPERLINK("http://www.ncbi.nlm.nih.gov/gene/14114", "14114")</f>
        <v>14114</v>
      </c>
      <c r="C630" s="6" t="str">
        <f>HYPERLINK("http://www.ncbi.nlm.nih.gov/gene/2192", "2192")</f>
        <v>2192</v>
      </c>
      <c r="D630" t="str">
        <f>"Fbln1"</f>
        <v>Fbln1</v>
      </c>
      <c r="E630" t="s">
        <v>1951</v>
      </c>
      <c r="F630" t="s">
        <v>1952</v>
      </c>
      <c r="H630" s="518">
        <v>4</v>
      </c>
      <c r="I630" s="461">
        <v>9.3304538747739301</v>
      </c>
      <c r="J630" s="395">
        <v>9.2233860532229599</v>
      </c>
      <c r="K630" s="358">
        <v>9.3793961780837591</v>
      </c>
      <c r="L630" s="2290">
        <v>7.8744371053220901</v>
      </c>
      <c r="M630" s="1620">
        <v>7.8339842117985201</v>
      </c>
      <c r="N630" s="1163">
        <v>7.6353417800691599</v>
      </c>
      <c r="O630" s="949">
        <v>8.9400010626566306</v>
      </c>
      <c r="P630" s="816">
        <v>8.9644130121338907</v>
      </c>
      <c r="Q630" s="2295">
        <v>9.0409799312866692</v>
      </c>
      <c r="R630" s="650">
        <v>8.6652745186137992</v>
      </c>
      <c r="S630" s="720">
        <v>8.7355843889800209</v>
      </c>
      <c r="T630" s="1500">
        <v>8.9015562997049393</v>
      </c>
    </row>
    <row r="631" spans="1:20">
      <c r="A631" t="s">
        <v>1953</v>
      </c>
      <c r="B631" s="6" t="str">
        <f>HYPERLINK("http://www.ncbi.nlm.nih.gov/gene/12825", "12825")</f>
        <v>12825</v>
      </c>
      <c r="C631" s="6" t="str">
        <f>HYPERLINK("http://www.ncbi.nlm.nih.gov/gene/1281", "1281")</f>
        <v>1281</v>
      </c>
      <c r="D631" t="str">
        <f>"Col3a1"</f>
        <v>Col3a1</v>
      </c>
      <c r="E631" t="s">
        <v>1954</v>
      </c>
      <c r="F631" t="s">
        <v>1961</v>
      </c>
      <c r="G631" t="s">
        <v>1498</v>
      </c>
      <c r="H631" s="518">
        <v>4</v>
      </c>
      <c r="I631" s="358">
        <v>9.2171462242218691</v>
      </c>
      <c r="J631" s="258">
        <v>9.2761740427444703</v>
      </c>
      <c r="K631" s="261">
        <v>9.1457375417095594</v>
      </c>
      <c r="L631" s="1903">
        <v>7.3594635714260699</v>
      </c>
      <c r="M631" s="1286">
        <v>7.2737776659423696</v>
      </c>
      <c r="N631" s="1778">
        <v>6.9854831231694003</v>
      </c>
      <c r="O631" s="1546">
        <v>8.6128830761726292</v>
      </c>
      <c r="P631" s="827">
        <v>8.6872926254195004</v>
      </c>
      <c r="Q631" s="2016">
        <v>8.7821095223370005</v>
      </c>
      <c r="R631" s="835">
        <v>8.3563115701856994</v>
      </c>
      <c r="S631" s="726">
        <v>8.2924375869407498</v>
      </c>
      <c r="T631" s="1547">
        <v>8.2997039278036304</v>
      </c>
    </row>
    <row r="632" spans="1:20">
      <c r="A632" t="s">
        <v>1962</v>
      </c>
      <c r="B632" s="6" t="str">
        <f>HYPERLINK("http://www.ncbi.nlm.nih.gov/gene/16859", "16859")</f>
        <v>16859</v>
      </c>
      <c r="C632" s="6" t="str">
        <f>HYPERLINK("http://www.ncbi.nlm.nih.gov/gene/284194", "284194")</f>
        <v>284194</v>
      </c>
      <c r="D632" t="str">
        <f>"Lgals9"</f>
        <v>Lgals9</v>
      </c>
      <c r="E632" t="s">
        <v>1942</v>
      </c>
      <c r="F632" t="s">
        <v>1943</v>
      </c>
      <c r="H632" s="518">
        <v>4</v>
      </c>
      <c r="I632" s="478">
        <v>6.9206859443896702</v>
      </c>
      <c r="J632" s="49">
        <v>6.6972242453594504</v>
      </c>
      <c r="K632" s="171">
        <v>6.8349312409356804</v>
      </c>
      <c r="L632" s="2152">
        <v>5.3850709680242002</v>
      </c>
      <c r="M632" s="1160">
        <v>5.5244414184271102</v>
      </c>
      <c r="N632" s="1564">
        <v>5.4647212369485398</v>
      </c>
      <c r="O632" s="911">
        <v>6.7364373605063097</v>
      </c>
      <c r="P632" s="945">
        <v>6.6642950005457298</v>
      </c>
      <c r="Q632" s="2228">
        <v>6.3444477536163699</v>
      </c>
      <c r="R632" s="550">
        <v>6.13597225220329</v>
      </c>
      <c r="S632" s="779">
        <v>6.1947777604701804</v>
      </c>
      <c r="T632" s="812">
        <v>6.1755797789868296</v>
      </c>
    </row>
    <row r="633" spans="1:20">
      <c r="A633" t="s">
        <v>1944</v>
      </c>
      <c r="B633" s="6" t="str">
        <f>HYPERLINK("http://www.ncbi.nlm.nih.gov/gene/98267", "98267")</f>
        <v>98267</v>
      </c>
      <c r="C633" s="6" t="str">
        <f>HYPERLINK("http://www.ncbi.nlm.nih.gov/gene/9262", "9262")</f>
        <v>9262</v>
      </c>
      <c r="D633" t="str">
        <f>"Stk17b"</f>
        <v>Stk17b</v>
      </c>
      <c r="E633" t="s">
        <v>1945</v>
      </c>
      <c r="F633" t="s">
        <v>1955</v>
      </c>
      <c r="H633" s="518">
        <v>4</v>
      </c>
      <c r="I633" s="347">
        <v>7.3071530756669398</v>
      </c>
      <c r="J633" s="412">
        <v>7.3141356655425298</v>
      </c>
      <c r="K633" s="229">
        <v>7.3196443996357203</v>
      </c>
      <c r="L633" s="2397">
        <v>5.94625234563369</v>
      </c>
      <c r="M633" s="1584">
        <v>6.1653839383400904</v>
      </c>
      <c r="N633" s="727">
        <v>6.1912928650553498</v>
      </c>
      <c r="O633" s="1418">
        <v>7.2173325930738903</v>
      </c>
      <c r="P633" s="962">
        <v>7.2302952718825804</v>
      </c>
      <c r="Q633" s="2346">
        <v>7.2517674056806003</v>
      </c>
      <c r="R633" s="1291">
        <v>6.6865765842895497</v>
      </c>
      <c r="S633" s="854">
        <v>6.7838794513777803</v>
      </c>
      <c r="T633" s="1388">
        <v>6.7922908908339004</v>
      </c>
    </row>
    <row r="634" spans="1:20">
      <c r="A634" t="s">
        <v>1956</v>
      </c>
      <c r="B634" s="6" t="str">
        <f>HYPERLINK("http://www.ncbi.nlm.nih.gov/gene/70747", "70747")</f>
        <v>70747</v>
      </c>
      <c r="C634" s="6" t="str">
        <f>HYPERLINK("http://www.ncbi.nlm.nih.gov/gene/10100", "10100")</f>
        <v>10100</v>
      </c>
      <c r="D634" t="str">
        <f>"Tspan2"</f>
        <v>Tspan2</v>
      </c>
      <c r="E634" t="s">
        <v>1957</v>
      </c>
      <c r="F634" t="s">
        <v>1958</v>
      </c>
      <c r="H634" s="518">
        <v>4</v>
      </c>
      <c r="I634" s="167">
        <v>5.6075270026991797</v>
      </c>
      <c r="J634" s="30">
        <v>5.3194086329429</v>
      </c>
      <c r="K634" s="504">
        <v>5.2859405046781296</v>
      </c>
      <c r="L634" s="2343">
        <v>4.3209434005884102</v>
      </c>
      <c r="M634" s="622">
        <v>4.7287052489994501</v>
      </c>
      <c r="N634" s="1704">
        <v>4.0528473263222002</v>
      </c>
      <c r="O634" s="1318">
        <v>5.1488152742427697</v>
      </c>
      <c r="P634" s="1475">
        <v>5.3586392233957501</v>
      </c>
      <c r="Q634" s="2398">
        <v>5.3079063192087999</v>
      </c>
      <c r="R634" s="650">
        <v>4.9680359194199699</v>
      </c>
      <c r="S634" s="779">
        <v>4.9497391564327096</v>
      </c>
      <c r="T634" s="1392">
        <v>4.9717581651846103</v>
      </c>
    </row>
    <row r="635" spans="1:20">
      <c r="A635" t="s">
        <v>1959</v>
      </c>
      <c r="B635" s="6" t="str">
        <f>HYPERLINK("http://www.ncbi.nlm.nih.gov/gene/13405", "13405")</f>
        <v>13405</v>
      </c>
      <c r="C635" s="6" t="str">
        <f>HYPERLINK("http://www.ncbi.nlm.nih.gov/gene/1756", "1756")</f>
        <v>1756</v>
      </c>
      <c r="D635" t="str">
        <f>"Dmd"</f>
        <v>Dmd</v>
      </c>
      <c r="E635" t="s">
        <v>1960</v>
      </c>
      <c r="F635" t="s">
        <v>1963</v>
      </c>
      <c r="G635" t="s">
        <v>1964</v>
      </c>
      <c r="H635" s="519">
        <v>5</v>
      </c>
      <c r="I635" s="262">
        <v>4.4050270720472504</v>
      </c>
      <c r="J635" s="149">
        <v>4.3435392917458904</v>
      </c>
      <c r="K635" s="68">
        <v>4.2364143315704998</v>
      </c>
      <c r="L635" s="1990">
        <v>5.1565070533546402</v>
      </c>
      <c r="M635" s="804">
        <v>5.4086381113130502</v>
      </c>
      <c r="N635" s="526">
        <v>5.91390354205046</v>
      </c>
      <c r="O635" s="1548">
        <v>3.99282575862193</v>
      </c>
      <c r="P635" s="1087">
        <v>3.9755447465699101</v>
      </c>
      <c r="Q635" s="2315">
        <v>4.0645511532889298</v>
      </c>
      <c r="R635" s="622">
        <v>4.1524063333703101</v>
      </c>
      <c r="S635" s="670">
        <v>4.3491897644681998</v>
      </c>
      <c r="T635" s="1435">
        <v>4.3421298157764499</v>
      </c>
    </row>
    <row r="636" spans="1:20">
      <c r="A636" t="s">
        <v>1965</v>
      </c>
      <c r="B636" s="6" t="str">
        <f>HYPERLINK("http://www.ncbi.nlm.nih.gov/gene/58182", "58182")</f>
        <v>58182</v>
      </c>
      <c r="C636" s="6" t="str">
        <f>HYPERLINK("http://www.ncbi.nlm.nih.gov/gene/10887", "10887")</f>
        <v>10887</v>
      </c>
      <c r="D636" t="str">
        <f>"Prokr1"</f>
        <v>Prokr1</v>
      </c>
      <c r="E636" t="s">
        <v>1966</v>
      </c>
      <c r="F636" t="s">
        <v>1967</v>
      </c>
      <c r="H636" s="519">
        <v>5</v>
      </c>
      <c r="I636" s="187">
        <v>5.2804892257473499</v>
      </c>
      <c r="J636" s="149">
        <v>5.1112111062300096</v>
      </c>
      <c r="K636" s="76">
        <v>5.5047533009352598</v>
      </c>
      <c r="L636" s="2399">
        <v>6.95672697585037</v>
      </c>
      <c r="M636" s="1164">
        <v>7.0153189912964899</v>
      </c>
      <c r="N636" s="998">
        <v>7.4854394150987202</v>
      </c>
      <c r="O636" s="1192">
        <v>4.4430150124477796</v>
      </c>
      <c r="P636" s="876">
        <v>4.5160348499137504</v>
      </c>
      <c r="Q636" s="2400">
        <v>3.86876451245349</v>
      </c>
      <c r="R636" s="592">
        <v>4.8793956564263699</v>
      </c>
      <c r="S636" s="550">
        <v>5.1885819639002202</v>
      </c>
      <c r="T636" s="615">
        <v>5.0761796706815501</v>
      </c>
    </row>
    <row r="637" spans="1:20">
      <c r="A637" t="s">
        <v>1968</v>
      </c>
      <c r="B637" s="6" t="str">
        <f>HYPERLINK("http://www.ncbi.nlm.nih.gov/gene/66270", "66270")</f>
        <v>66270</v>
      </c>
      <c r="C637" s="6" t="str">
        <f>HYPERLINK("http://www.ncbi.nlm.nih.gov/gene/54463", "54463")</f>
        <v>54463</v>
      </c>
      <c r="D637" t="str">
        <f>"Fam134b"</f>
        <v>Fam134b</v>
      </c>
      <c r="E637" t="s">
        <v>1969</v>
      </c>
      <c r="F637" t="s">
        <v>1970</v>
      </c>
      <c r="H637" s="519">
        <v>5</v>
      </c>
      <c r="I637" s="26">
        <v>4.1644598955155896</v>
      </c>
      <c r="J637" s="194">
        <v>4.0452368986790397</v>
      </c>
      <c r="K637" s="170">
        <v>4.4598923864453104</v>
      </c>
      <c r="L637" s="1993">
        <v>4.8471633877106299</v>
      </c>
      <c r="M637" s="1145">
        <v>5.1600939670771604</v>
      </c>
      <c r="N637" s="526">
        <v>5.6852758239718097</v>
      </c>
      <c r="O637" s="1064">
        <v>3.9337508813334501</v>
      </c>
      <c r="P637" s="1167">
        <v>3.8776516155030301</v>
      </c>
      <c r="Q637" s="2330">
        <v>3.91737279778929</v>
      </c>
      <c r="R637" s="739">
        <v>4.57231210004361</v>
      </c>
      <c r="S637" s="838">
        <v>4.5617779432275301</v>
      </c>
      <c r="T637" s="671">
        <v>4.2866386698840504</v>
      </c>
    </row>
    <row r="638" spans="1:20">
      <c r="A638" t="s">
        <v>1971</v>
      </c>
      <c r="B638" s="6" t="str">
        <f>HYPERLINK("http://www.ncbi.nlm.nih.gov/gene/13120", "13120")</f>
        <v>13120</v>
      </c>
      <c r="C638" s="6" t="str">
        <f>HYPERLINK("http://www.ncbi.nlm.nih.gov/gene/1580", "1580")</f>
        <v>1580</v>
      </c>
      <c r="D638" t="str">
        <f>"Cyp4b1"</f>
        <v>Cyp4b1</v>
      </c>
      <c r="E638" t="s">
        <v>1972</v>
      </c>
      <c r="F638" t="s">
        <v>1973</v>
      </c>
      <c r="H638" s="519">
        <v>5</v>
      </c>
      <c r="I638" s="120">
        <v>3.6526856658715801</v>
      </c>
      <c r="J638" s="42">
        <v>3.8183287815615801</v>
      </c>
      <c r="K638" s="70">
        <v>3.7909335587388502</v>
      </c>
      <c r="L638" s="2401">
        <v>4.8397041948472097</v>
      </c>
      <c r="M638" s="844">
        <v>4.4574681048170204</v>
      </c>
      <c r="N638" s="526">
        <v>5.5052767393271296</v>
      </c>
      <c r="O638" s="1549">
        <v>3.21640068741545</v>
      </c>
      <c r="P638" s="538">
        <v>3.5838539839822698</v>
      </c>
      <c r="Q638" s="2402">
        <v>3.2367962925232301</v>
      </c>
      <c r="R638" s="543">
        <v>3.7141393553728701</v>
      </c>
      <c r="S638" s="1532">
        <v>4.1910006913291404</v>
      </c>
      <c r="T638" s="721">
        <v>3.7165115826560999</v>
      </c>
    </row>
    <row r="639" spans="1:20">
      <c r="A639" t="s">
        <v>1974</v>
      </c>
      <c r="B639" s="6" t="str">
        <f>HYPERLINK("http://www.ncbi.nlm.nih.gov/gene/243043", "243043")</f>
        <v>243043</v>
      </c>
      <c r="C639" s="6" t="str">
        <f>HYPERLINK("http://www.ncbi.nlm.nih.gov/gene/386617", "386617")</f>
        <v>386617</v>
      </c>
      <c r="D639" t="str">
        <f>"Kctd8"</f>
        <v>Kctd8</v>
      </c>
      <c r="E639" t="s">
        <v>1975</v>
      </c>
      <c r="F639" t="s">
        <v>1976</v>
      </c>
      <c r="H639" s="519">
        <v>5</v>
      </c>
      <c r="I639" s="88">
        <v>2.8525715102504199</v>
      </c>
      <c r="J639" s="54">
        <v>3.2406107052586899</v>
      </c>
      <c r="K639" s="55">
        <v>3.0002550755245898</v>
      </c>
      <c r="L639" s="2403">
        <v>4.6515713456304697</v>
      </c>
      <c r="M639" s="958">
        <v>4.3398640959317003</v>
      </c>
      <c r="N639" s="526">
        <v>5.02521973307827</v>
      </c>
      <c r="O639" s="1551">
        <v>2.69769804304245</v>
      </c>
      <c r="P639" s="1330">
        <v>2.61485109097841</v>
      </c>
      <c r="Q639" s="2404">
        <v>3.0859711675410599</v>
      </c>
      <c r="R639" s="1065">
        <v>3.2272297466954498</v>
      </c>
      <c r="S639" s="1251">
        <v>3.5215344366307102</v>
      </c>
      <c r="T639" s="1358">
        <v>3.0302355537614001</v>
      </c>
    </row>
    <row r="640" spans="1:20">
      <c r="A640" t="s">
        <v>1977</v>
      </c>
      <c r="B640" s="6" t="str">
        <f>HYPERLINK("http://www.ncbi.nlm.nih.gov/gene/66402", "66402")</f>
        <v>66402</v>
      </c>
      <c r="C640" s="6" t="str">
        <f>HYPERLINK("http://www.ncbi.nlm.nih.gov/gene/", "")</f>
        <v/>
      </c>
      <c r="D640" t="str">
        <f>"Sln"</f>
        <v>Sln</v>
      </c>
      <c r="E640" t="s">
        <v>1978</v>
      </c>
      <c r="F640" t="s">
        <v>1979</v>
      </c>
      <c r="H640" s="519">
        <v>5</v>
      </c>
      <c r="I640" s="37">
        <v>2.7846794363804301</v>
      </c>
      <c r="J640" s="147">
        <v>3.3043674136293202</v>
      </c>
      <c r="K640" s="88">
        <v>2.7220020688525102</v>
      </c>
      <c r="L640" s="2405">
        <v>4.3848464312009998</v>
      </c>
      <c r="M640" s="1145">
        <v>4.3168363161186196</v>
      </c>
      <c r="N640" s="613">
        <v>4.8697459629173201</v>
      </c>
      <c r="O640" s="1024">
        <v>2.7114327761518302</v>
      </c>
      <c r="P640" s="729">
        <v>2.5800827283407899</v>
      </c>
      <c r="Q640" s="2406">
        <v>2.4926589493433302</v>
      </c>
      <c r="R640" s="560">
        <v>2.98989791443271</v>
      </c>
      <c r="S640" s="750">
        <v>3.4306330665337299</v>
      </c>
      <c r="T640" s="780">
        <v>3.1633814876814901</v>
      </c>
    </row>
    <row r="641" spans="1:20">
      <c r="A641" t="s">
        <v>1980</v>
      </c>
      <c r="B641" s="6" t="str">
        <f>HYPERLINK("http://www.ncbi.nlm.nih.gov/gene/17684", "17684")</f>
        <v>17684</v>
      </c>
      <c r="C641" s="6" t="str">
        <f>HYPERLINK("http://www.ncbi.nlm.nih.gov/gene/10370", "10370")</f>
        <v>10370</v>
      </c>
      <c r="D641" t="str">
        <f>"Cited2"</f>
        <v>Cited2</v>
      </c>
      <c r="E641" t="s">
        <v>1981</v>
      </c>
      <c r="F641" t="s">
        <v>1982</v>
      </c>
      <c r="H641" s="519">
        <v>5</v>
      </c>
      <c r="I641" s="154">
        <v>8.5867533999656391</v>
      </c>
      <c r="J641" s="80">
        <v>8.4865410591997108</v>
      </c>
      <c r="K641" s="98">
        <v>8.6505238534547093</v>
      </c>
      <c r="L641" s="2407">
        <v>9.7250097765837893</v>
      </c>
      <c r="M641" s="590">
        <v>9.7149461709808396</v>
      </c>
      <c r="N641" s="811">
        <v>9.8053126143094609</v>
      </c>
      <c r="O641" s="1552">
        <v>8.4122288372089091</v>
      </c>
      <c r="P641" s="997">
        <v>8.5079093283904097</v>
      </c>
      <c r="Q641" s="2406">
        <v>8.4122456537170294</v>
      </c>
      <c r="R641" s="1497">
        <v>9.0759631075871692</v>
      </c>
      <c r="S641" s="887">
        <v>9.1639335472432908</v>
      </c>
      <c r="T641" s="1531">
        <v>9.1103876663179992</v>
      </c>
    </row>
    <row r="642" spans="1:20">
      <c r="A642" t="s">
        <v>1983</v>
      </c>
      <c r="B642" s="6" t="str">
        <f>HYPERLINK("http://www.ncbi.nlm.nih.gov/gene/12505", "12505")</f>
        <v>12505</v>
      </c>
      <c r="C642" s="6" t="str">
        <f>HYPERLINK("http://www.ncbi.nlm.nih.gov/gene/960", "960")</f>
        <v>960</v>
      </c>
      <c r="D642" t="str">
        <f>"Cd44"</f>
        <v>Cd44</v>
      </c>
      <c r="E642" t="s">
        <v>1984</v>
      </c>
      <c r="F642" t="s">
        <v>1985</v>
      </c>
      <c r="G642" t="s">
        <v>1986</v>
      </c>
      <c r="H642" s="519">
        <v>5</v>
      </c>
      <c r="I642" s="24">
        <v>4.3617830286857</v>
      </c>
      <c r="J642" s="239">
        <v>4.2110873072300299</v>
      </c>
      <c r="K642" s="43">
        <v>4.4166014772441597</v>
      </c>
      <c r="L642" s="2408">
        <v>7.7826897545609599</v>
      </c>
      <c r="M642" s="639">
        <v>7.4842601116646197</v>
      </c>
      <c r="N642" s="644">
        <v>7.7140228874433001</v>
      </c>
      <c r="O642" s="1166">
        <v>4.0368165976619599</v>
      </c>
      <c r="P642" s="1302">
        <v>4.07281711266487</v>
      </c>
      <c r="Q642" s="2330">
        <v>4.0427944809453296</v>
      </c>
      <c r="R642" s="939">
        <v>5.94255593659976</v>
      </c>
      <c r="S642" s="955">
        <v>6.1501541866298099</v>
      </c>
      <c r="T642" s="1553">
        <v>6.07720294059955</v>
      </c>
    </row>
    <row r="643" spans="1:20">
      <c r="A643" t="s">
        <v>1987</v>
      </c>
      <c r="B643" s="6" t="str">
        <f>HYPERLINK("http://www.ncbi.nlm.nih.gov/gene/240638", "240638")</f>
        <v>240638</v>
      </c>
      <c r="C643" s="6" t="str">
        <f>HYPERLINK("http://www.ncbi.nlm.nih.gov/gene/387700", "387700")</f>
        <v>387700</v>
      </c>
      <c r="D643" t="str">
        <f>"Slc16a12"</f>
        <v>Slc16a12</v>
      </c>
      <c r="E643" t="s">
        <v>1988</v>
      </c>
      <c r="F643" t="s">
        <v>1807</v>
      </c>
      <c r="H643" s="519">
        <v>5</v>
      </c>
      <c r="I643" s="136">
        <v>3.18090372956607</v>
      </c>
      <c r="J643" s="58">
        <v>3.4836741211820099</v>
      </c>
      <c r="K643" s="43">
        <v>3.4098027960575101</v>
      </c>
      <c r="L643" s="2399">
        <v>6.8088822603058903</v>
      </c>
      <c r="M643" s="728">
        <v>6.7332560840912903</v>
      </c>
      <c r="N643" s="718">
        <v>6.9993758030164104</v>
      </c>
      <c r="O643" s="1554">
        <v>2.6464964192564202</v>
      </c>
      <c r="P643" s="729">
        <v>3.0686214768822699</v>
      </c>
      <c r="Q643" s="2148">
        <v>3.0399130656883599</v>
      </c>
      <c r="R643" s="766">
        <v>5.2417134406293604</v>
      </c>
      <c r="S643" s="924">
        <v>5.5943314253099503</v>
      </c>
      <c r="T643" s="817">
        <v>4.91871603447726</v>
      </c>
    </row>
    <row r="644" spans="1:20">
      <c r="A644" t="s">
        <v>1989</v>
      </c>
      <c r="B644" s="6" t="str">
        <f>HYPERLINK("http://www.ncbi.nlm.nih.gov/gene/18760", "18760")</f>
        <v>18760</v>
      </c>
      <c r="C644" s="6" t="str">
        <f>HYPERLINK("http://www.ncbi.nlm.nih.gov/gene/5587", "5587")</f>
        <v>5587</v>
      </c>
      <c r="D644" t="str">
        <f>"Prkd1"</f>
        <v>Prkd1</v>
      </c>
      <c r="E644" t="s">
        <v>1990</v>
      </c>
      <c r="F644" t="s">
        <v>1991</v>
      </c>
      <c r="H644" s="519">
        <v>5</v>
      </c>
      <c r="I644" s="237">
        <v>4.3798691984274596</v>
      </c>
      <c r="J644" s="199">
        <v>4.4660479678438296</v>
      </c>
      <c r="K644" s="123">
        <v>4.5105015302864997</v>
      </c>
      <c r="L644" s="2409">
        <v>6.7209969322149901</v>
      </c>
      <c r="M644" s="823">
        <v>6.6077535490499004</v>
      </c>
      <c r="N644" s="571">
        <v>6.7235514770560503</v>
      </c>
      <c r="O644" s="1133">
        <v>4.2301469129943898</v>
      </c>
      <c r="P644" s="997">
        <v>4.4374952871887903</v>
      </c>
      <c r="Q644" s="2148">
        <v>4.3542448911495697</v>
      </c>
      <c r="R644" s="806">
        <v>5.7676675894570204</v>
      </c>
      <c r="S644" s="824">
        <v>5.6990978749197199</v>
      </c>
      <c r="T644" s="1555">
        <v>5.8429647049598898</v>
      </c>
    </row>
    <row r="645" spans="1:20">
      <c r="A645" t="s">
        <v>2018</v>
      </c>
      <c r="B645" s="6" t="str">
        <f>HYPERLINK("http://www.ncbi.nlm.nih.gov/gene/103140", "103140")</f>
        <v>103140</v>
      </c>
      <c r="C645" s="6" t="str">
        <f>HYPERLINK("http://www.ncbi.nlm.nih.gov/gene/", "")</f>
        <v/>
      </c>
      <c r="D645" t="str">
        <f>"Gstt3"</f>
        <v>Gstt3</v>
      </c>
      <c r="E645" t="s">
        <v>1992</v>
      </c>
      <c r="F645" t="s">
        <v>1993</v>
      </c>
      <c r="H645" s="519">
        <v>5</v>
      </c>
      <c r="I645" s="212">
        <v>4.8972226032117403</v>
      </c>
      <c r="J645" s="50">
        <v>5.3663883069831302</v>
      </c>
      <c r="K645" s="91">
        <v>5.3258179670983896</v>
      </c>
      <c r="L645" s="2410">
        <v>7.0517566441181296</v>
      </c>
      <c r="M645" s="714">
        <v>6.9306928031966102</v>
      </c>
      <c r="N645" s="707">
        <v>7.1677872410066197</v>
      </c>
      <c r="O645" s="1024">
        <v>5.2174559941690699</v>
      </c>
      <c r="P645" s="1330">
        <v>4.9717900954916203</v>
      </c>
      <c r="Q645" s="2134">
        <v>4.9122891713714303</v>
      </c>
      <c r="R645" s="788">
        <v>6.0462328812579296</v>
      </c>
      <c r="S645" s="806">
        <v>6.2643402198178801</v>
      </c>
      <c r="T645" s="1487">
        <v>6.3129817350308004</v>
      </c>
    </row>
    <row r="646" spans="1:20">
      <c r="A646" t="s">
        <v>1994</v>
      </c>
      <c r="B646" s="6" t="str">
        <f>HYPERLINK("http://www.ncbi.nlm.nih.gov/gene/330409", "330409")</f>
        <v>330409</v>
      </c>
      <c r="C646" s="6" t="str">
        <f>HYPERLINK("http://www.ncbi.nlm.nih.gov/gene/27443", "27443")</f>
        <v>27443</v>
      </c>
      <c r="D646" t="str">
        <f>"Cecr2"</f>
        <v>Cecr2</v>
      </c>
      <c r="E646" t="s">
        <v>1995</v>
      </c>
      <c r="F646" t="s">
        <v>1996</v>
      </c>
      <c r="H646" s="519">
        <v>5</v>
      </c>
      <c r="I646" s="98">
        <v>3.4037063803131899</v>
      </c>
      <c r="J646" s="142">
        <v>3.15630736240891</v>
      </c>
      <c r="K646" s="43">
        <v>3.30883557743062</v>
      </c>
      <c r="L646" s="2411">
        <v>5.0007038532107497</v>
      </c>
      <c r="M646" s="947">
        <v>4.5277024353959696</v>
      </c>
      <c r="N646" s="587">
        <v>5.0114112439470198</v>
      </c>
      <c r="O646" s="1024">
        <v>3.2840034438375199</v>
      </c>
      <c r="P646" s="1556">
        <v>2.92054293373304</v>
      </c>
      <c r="Q646" s="2081">
        <v>3.36043454281242</v>
      </c>
      <c r="R646" s="835">
        <v>3.82204363712443</v>
      </c>
      <c r="S646" s="824">
        <v>4.1008360912458697</v>
      </c>
      <c r="T646" s="765">
        <v>4.0307738423041597</v>
      </c>
    </row>
    <row r="647" spans="1:20">
      <c r="A647" t="s">
        <v>1997</v>
      </c>
      <c r="B647" s="6" t="str">
        <f>HYPERLINK("http://www.ncbi.nlm.nih.gov/gene/353169", "353169")</f>
        <v>353169</v>
      </c>
      <c r="C647" s="6" t="str">
        <f>HYPERLINK("http://www.ncbi.nlm.nih.gov/gene/154091", "154091")</f>
        <v>154091</v>
      </c>
      <c r="D647" t="str">
        <f>"Slc2a12"</f>
        <v>Slc2a12</v>
      </c>
      <c r="E647" t="s">
        <v>1998</v>
      </c>
      <c r="F647" t="s">
        <v>1999</v>
      </c>
      <c r="H647" s="519">
        <v>5</v>
      </c>
      <c r="I647" s="74">
        <v>4.8179795115488799</v>
      </c>
      <c r="J647" s="321">
        <v>4.4726446791578098</v>
      </c>
      <c r="K647" s="70">
        <v>4.9004509900483404</v>
      </c>
      <c r="L647" s="2412">
        <v>5.9061515853706403</v>
      </c>
      <c r="M647" s="603">
        <v>6.0156158786894602</v>
      </c>
      <c r="N647" s="804">
        <v>5.88959611666073</v>
      </c>
      <c r="O647" s="1552">
        <v>4.4548919290390199</v>
      </c>
      <c r="P647" s="1337">
        <v>4.4587789620538496</v>
      </c>
      <c r="Q647" s="2074">
        <v>4.5609520807711803</v>
      </c>
      <c r="R647" s="853">
        <v>4.93776681946572</v>
      </c>
      <c r="S647" s="845">
        <v>5.1999356417796498</v>
      </c>
      <c r="T647" s="1557">
        <v>5.12445574052908</v>
      </c>
    </row>
    <row r="648" spans="1:20">
      <c r="A648" t="s">
        <v>2000</v>
      </c>
      <c r="B648" s="6" t="str">
        <f>HYPERLINK("http://www.ncbi.nlm.nih.gov/gene/13537", "13537")</f>
        <v>13537</v>
      </c>
      <c r="C648" s="6" t="str">
        <f>HYPERLINK("http://www.ncbi.nlm.nih.gov/gene/1844", "1844")</f>
        <v>1844</v>
      </c>
      <c r="D648" t="str">
        <f>"Dusp2"</f>
        <v>Dusp2</v>
      </c>
      <c r="E648" t="s">
        <v>2001</v>
      </c>
      <c r="F648" t="s">
        <v>2002</v>
      </c>
      <c r="G648" t="s">
        <v>2003</v>
      </c>
      <c r="H648" s="519">
        <v>5</v>
      </c>
      <c r="I648" s="204">
        <v>4.5035638955180897</v>
      </c>
      <c r="J648" s="24">
        <v>4.1969831625643499</v>
      </c>
      <c r="K648" s="90">
        <v>4.5119757073017901</v>
      </c>
      <c r="L648" s="2413">
        <v>5.6857121384458598</v>
      </c>
      <c r="M648" s="868">
        <v>5.9210006639119701</v>
      </c>
      <c r="N648" s="631">
        <v>5.6912785834577697</v>
      </c>
      <c r="O648" s="1108">
        <v>4.0995819966018097</v>
      </c>
      <c r="P648" s="1558">
        <v>3.7344770196482702</v>
      </c>
      <c r="Q648" s="2414">
        <v>4.0313589812161403</v>
      </c>
      <c r="R648" s="751">
        <v>4.7818452212873899</v>
      </c>
      <c r="S648" s="1497">
        <v>4.8745482842066803</v>
      </c>
      <c r="T648" s="1539">
        <v>4.8234165511050797</v>
      </c>
    </row>
    <row r="649" spans="1:20">
      <c r="A649" t="s">
        <v>2004</v>
      </c>
      <c r="B649" s="6" t="str">
        <f>HYPERLINK("http://www.ncbi.nlm.nih.gov/gene/94214", "94214")</f>
        <v>94214</v>
      </c>
      <c r="C649" s="6" t="str">
        <f>HYPERLINK("http://www.ncbi.nlm.nih.gov/gene/9806", "9806")</f>
        <v>9806</v>
      </c>
      <c r="D649" t="str">
        <f>"Spock2"</f>
        <v>Spock2</v>
      </c>
      <c r="E649" t="s">
        <v>2005</v>
      </c>
      <c r="F649" t="s">
        <v>2006</v>
      </c>
      <c r="H649" s="519">
        <v>5</v>
      </c>
      <c r="I649" s="24">
        <v>5.0735337828748701</v>
      </c>
      <c r="J649" s="24">
        <v>5.0747784804770903</v>
      </c>
      <c r="K649" s="24">
        <v>5.0747784804770903</v>
      </c>
      <c r="L649" s="2415">
        <v>6.85416238733265</v>
      </c>
      <c r="M649" s="815">
        <v>7.2284587332126797</v>
      </c>
      <c r="N649" s="762">
        <v>6.9206254301693999</v>
      </c>
      <c r="O649" s="1012">
        <v>5.1602958286738696</v>
      </c>
      <c r="P649" s="1559">
        <v>4.6253555583358104</v>
      </c>
      <c r="Q649" s="2173">
        <v>5.19350006250622</v>
      </c>
      <c r="R649" s="798">
        <v>5.7613698989811999</v>
      </c>
      <c r="S649" s="836">
        <v>5.7960614947637303</v>
      </c>
      <c r="T649" s="1560">
        <v>5.9884668236410503</v>
      </c>
    </row>
    <row r="650" spans="1:20">
      <c r="A650" t="s">
        <v>2007</v>
      </c>
      <c r="B650" s="6" t="str">
        <f>HYPERLINK("http://www.ncbi.nlm.nih.gov/gene/93691", "93691")</f>
        <v>93691</v>
      </c>
      <c r="C650" s="6" t="str">
        <f>HYPERLINK("http://www.ncbi.nlm.nih.gov/gene/8609", "8609")</f>
        <v>8609</v>
      </c>
      <c r="D650" t="str">
        <f>"Klf7"</f>
        <v>Klf7</v>
      </c>
      <c r="E650" t="s">
        <v>2008</v>
      </c>
      <c r="F650" t="s">
        <v>2009</v>
      </c>
      <c r="H650" s="519">
        <v>5</v>
      </c>
      <c r="I650" s="61">
        <v>6.7325402911652397</v>
      </c>
      <c r="J650" s="75">
        <v>6.5725426574759398</v>
      </c>
      <c r="K650" s="53">
        <v>6.7221676464801403</v>
      </c>
      <c r="L650" s="2416">
        <v>7.5319788498479401</v>
      </c>
      <c r="M650" s="598">
        <v>7.9098017162010903</v>
      </c>
      <c r="N650" s="598">
        <v>7.9067240965329297</v>
      </c>
      <c r="O650" s="1146">
        <v>6.3567644780961503</v>
      </c>
      <c r="P650" s="572">
        <v>6.6924170378980898</v>
      </c>
      <c r="Q650" s="2322">
        <v>6.3548280376690496</v>
      </c>
      <c r="R650" s="626">
        <v>7.14023074158548</v>
      </c>
      <c r="S650" s="875">
        <v>7.3048450326543897</v>
      </c>
      <c r="T650" s="1561">
        <v>7.2866976087798401</v>
      </c>
    </row>
    <row r="651" spans="1:20">
      <c r="A651" t="s">
        <v>2010</v>
      </c>
      <c r="B651" s="6" t="str">
        <f>HYPERLINK("http://www.ncbi.nlm.nih.gov/gene/76252", "76252")</f>
        <v>76252</v>
      </c>
      <c r="C651" s="6" t="str">
        <f>HYPERLINK("http://www.ncbi.nlm.nih.gov/gene/155066", "155066")</f>
        <v>155066</v>
      </c>
      <c r="D651" t="str">
        <f>"Atp6v0e2"</f>
        <v>Atp6v0e2</v>
      </c>
      <c r="E651" t="s">
        <v>2011</v>
      </c>
      <c r="F651" t="s">
        <v>2012</v>
      </c>
      <c r="G651" t="s">
        <v>2013</v>
      </c>
      <c r="H651" s="519">
        <v>5</v>
      </c>
      <c r="I651" s="23">
        <v>6.1523867759971598</v>
      </c>
      <c r="J651" s="273">
        <v>6.2123257388612698</v>
      </c>
      <c r="K651" s="25">
        <v>6.3022902900540601</v>
      </c>
      <c r="L651" s="2417">
        <v>7.5215610937186304</v>
      </c>
      <c r="M651" s="657">
        <v>7.5815575369793997</v>
      </c>
      <c r="N651" s="1135">
        <v>7.4343816478418203</v>
      </c>
      <c r="O651" s="1133">
        <v>5.9814181717516099</v>
      </c>
      <c r="P651" s="1193">
        <v>6.0609612612698802</v>
      </c>
      <c r="Q651" s="2130">
        <v>5.8465660085044</v>
      </c>
      <c r="R651" s="770">
        <v>6.9180235621068196</v>
      </c>
      <c r="S651" s="882">
        <v>6.9950206179146797</v>
      </c>
      <c r="T651" s="1555">
        <v>7.0029280150730298</v>
      </c>
    </row>
    <row r="652" spans="1:20">
      <c r="A652" t="s">
        <v>2014</v>
      </c>
      <c r="B652" s="6" t="str">
        <f>HYPERLINK("http://www.ncbi.nlm.nih.gov/gene/228366", "228366")</f>
        <v>228366</v>
      </c>
      <c r="C652" s="6" t="str">
        <f>HYPERLINK("http://www.ncbi.nlm.nih.gov/gene/120071", "120071")</f>
        <v>120071</v>
      </c>
      <c r="D652" t="str">
        <f>"Gyltl1b"</f>
        <v>Gyltl1b</v>
      </c>
      <c r="E652" t="s">
        <v>2015</v>
      </c>
      <c r="F652" t="s">
        <v>2016</v>
      </c>
      <c r="H652" s="519">
        <v>5</v>
      </c>
      <c r="I652" s="98">
        <v>5.62936648104181</v>
      </c>
      <c r="J652" s="299">
        <v>5.3157543064795902</v>
      </c>
      <c r="K652" s="105">
        <v>5.6934314405029003</v>
      </c>
      <c r="L652" s="2415">
        <v>7.1835016771392102</v>
      </c>
      <c r="M652" s="559">
        <v>7.1279343941403202</v>
      </c>
      <c r="N652" s="1132">
        <v>7.1827618664738297</v>
      </c>
      <c r="O652" s="1562">
        <v>5.1253530780318002</v>
      </c>
      <c r="P652" s="872">
        <v>5.4379551085796898</v>
      </c>
      <c r="Q652" s="2047">
        <v>5.1594071867893003</v>
      </c>
      <c r="R652" s="1267">
        <v>6.3632655098346804</v>
      </c>
      <c r="S652" s="875">
        <v>6.5009664472620097</v>
      </c>
      <c r="T652" s="948">
        <v>6.7256921076197003</v>
      </c>
    </row>
    <row r="653" spans="1:20">
      <c r="A653" t="s">
        <v>2017</v>
      </c>
      <c r="B653" s="6" t="str">
        <f>HYPERLINK("http://www.ncbi.nlm.nih.gov/gene/216613", "216613")</f>
        <v>216613</v>
      </c>
      <c r="C653" s="6" t="str">
        <f>HYPERLINK("http://www.ncbi.nlm.nih.gov/gene/114800", "114800")</f>
        <v>114800</v>
      </c>
      <c r="D653" t="str">
        <f>"Ccdc85a"</f>
        <v>Ccdc85a</v>
      </c>
      <c r="E653" t="s">
        <v>2020</v>
      </c>
      <c r="F653" t="s">
        <v>90</v>
      </c>
      <c r="H653" s="519">
        <v>5</v>
      </c>
      <c r="I653" s="160">
        <v>2.87455746170835</v>
      </c>
      <c r="J653" s="62">
        <v>2.9478973553841099</v>
      </c>
      <c r="K653" s="80">
        <v>2.6675279526259001</v>
      </c>
      <c r="L653" s="2418">
        <v>4.2228406368510898</v>
      </c>
      <c r="M653" s="1132">
        <v>4.24807428225051</v>
      </c>
      <c r="N653" s="707">
        <v>4.37413879319997</v>
      </c>
      <c r="O653" s="1438">
        <v>2.6046443101068202</v>
      </c>
      <c r="P653" s="1181">
        <v>2.7604930959981799</v>
      </c>
      <c r="Q653" s="2419">
        <v>2.3558315078239702</v>
      </c>
      <c r="R653" s="937">
        <v>3.7216705795822098</v>
      </c>
      <c r="S653" s="658">
        <v>3.2471533356908799</v>
      </c>
      <c r="T653" s="772">
        <v>3.7180696554093502</v>
      </c>
    </row>
    <row r="654" spans="1:20">
      <c r="A654" t="s">
        <v>2021</v>
      </c>
      <c r="B654" s="6" t="str">
        <f>HYPERLINK("http://www.ncbi.nlm.nih.gov/gene/224912", "224912")</f>
        <v>224912</v>
      </c>
      <c r="C654" s="6" t="str">
        <f>HYPERLINK("http://www.ncbi.nlm.nih.gov/gene/", "")</f>
        <v/>
      </c>
      <c r="D654" t="str">
        <f>"Crb3"</f>
        <v>Crb3</v>
      </c>
      <c r="E654" t="s">
        <v>2022</v>
      </c>
      <c r="F654" t="s">
        <v>2023</v>
      </c>
      <c r="G654" t="s">
        <v>2024</v>
      </c>
      <c r="H654" s="519">
        <v>5</v>
      </c>
      <c r="I654" s="38">
        <v>3.9859110060193101</v>
      </c>
      <c r="J654" s="72">
        <v>3.7972189977948898</v>
      </c>
      <c r="K654" s="248">
        <v>3.5564645000459199</v>
      </c>
      <c r="L654" s="1990">
        <v>4.5715011062318096</v>
      </c>
      <c r="M654" s="526">
        <v>5.0890079964202704</v>
      </c>
      <c r="N654" s="559">
        <v>4.6919653213373902</v>
      </c>
      <c r="O654" s="1005">
        <v>3.58813854338044</v>
      </c>
      <c r="P654" s="1223">
        <v>3.67447070238125</v>
      </c>
      <c r="Q654" s="2420">
        <v>3.2732792477452901</v>
      </c>
      <c r="R654" s="1497">
        <v>4.1369492766436702</v>
      </c>
      <c r="S654" s="800">
        <v>4.1591312821149904</v>
      </c>
      <c r="T654" s="1361">
        <v>3.8985861894970002</v>
      </c>
    </row>
    <row r="655" spans="1:20">
      <c r="A655" t="s">
        <v>2025</v>
      </c>
      <c r="B655" s="6" t="str">
        <f>HYPERLINK("http://www.ncbi.nlm.nih.gov/gene/76560", "76560")</f>
        <v>76560</v>
      </c>
      <c r="C655" s="6" t="str">
        <f>HYPERLINK("http://www.ncbi.nlm.nih.gov/gene/5652", "5652")</f>
        <v>5652</v>
      </c>
      <c r="D655" t="str">
        <f>"Prss8"</f>
        <v>Prss8</v>
      </c>
      <c r="E655" t="s">
        <v>2026</v>
      </c>
      <c r="F655" t="s">
        <v>2027</v>
      </c>
      <c r="H655" s="519">
        <v>5</v>
      </c>
      <c r="I655" s="104">
        <v>4.4615327090538699</v>
      </c>
      <c r="J655" s="146">
        <v>4.48091593413967</v>
      </c>
      <c r="K655" s="26">
        <v>4.33972140736845</v>
      </c>
      <c r="L655" s="2405">
        <v>5.6274851462366504</v>
      </c>
      <c r="M655" s="613">
        <v>6.0454084461489597</v>
      </c>
      <c r="N655" s="698">
        <v>5.6683121436551804</v>
      </c>
      <c r="O655" s="1089">
        <v>4.2082023736231502</v>
      </c>
      <c r="P655" s="1332">
        <v>4.0696292084691503</v>
      </c>
      <c r="Q655" s="2402">
        <v>3.9509402744726301</v>
      </c>
      <c r="R655" s="700">
        <v>4.5904267898951803</v>
      </c>
      <c r="S655" s="676">
        <v>4.4733534208626597</v>
      </c>
      <c r="T655" s="1361">
        <v>4.5292638357797301</v>
      </c>
    </row>
    <row r="656" spans="1:20">
      <c r="A656" t="s">
        <v>2028</v>
      </c>
      <c r="B656" s="6" t="str">
        <f>HYPERLINK("http://www.ncbi.nlm.nih.gov/gene/16782", "16782")</f>
        <v>16782</v>
      </c>
      <c r="C656" s="6" t="str">
        <f>HYPERLINK("http://www.ncbi.nlm.nih.gov/gene/3918", "3918")</f>
        <v>3918</v>
      </c>
      <c r="D656" t="str">
        <f>"Lamc2"</f>
        <v>Lamc2</v>
      </c>
      <c r="E656" t="s">
        <v>2029</v>
      </c>
      <c r="F656" t="s">
        <v>2030</v>
      </c>
      <c r="G656" t="s">
        <v>621</v>
      </c>
      <c r="H656" s="519">
        <v>5</v>
      </c>
      <c r="I656" s="155">
        <v>4.5718834400837904</v>
      </c>
      <c r="J656" s="98">
        <v>4.2026660877504796</v>
      </c>
      <c r="K656" s="105">
        <v>4.26856066406007</v>
      </c>
      <c r="L656" s="2421">
        <v>6.0809487606045796</v>
      </c>
      <c r="M656" s="1013">
        <v>6.3192618400543701</v>
      </c>
      <c r="N656" s="598">
        <v>6.1962972598105699</v>
      </c>
      <c r="O656" s="1166">
        <v>3.8473665585686199</v>
      </c>
      <c r="P656" s="1289">
        <v>3.8472227435380701</v>
      </c>
      <c r="Q656" s="2422">
        <v>3.8648840868887802</v>
      </c>
      <c r="R656" s="690">
        <v>4.7399905659074797</v>
      </c>
      <c r="S656" s="672">
        <v>4.6776510671293101</v>
      </c>
      <c r="T656" s="580">
        <v>4.3697202813988998</v>
      </c>
    </row>
    <row r="657" spans="1:20">
      <c r="A657" t="s">
        <v>2031</v>
      </c>
      <c r="B657" s="6" t="str">
        <f>HYPERLINK("http://www.ncbi.nlm.nih.gov/gene/20972", "20972")</f>
        <v>20972</v>
      </c>
      <c r="C657" s="6" t="str">
        <f>HYPERLINK("http://www.ncbi.nlm.nih.gov/gene/9145", "9145")</f>
        <v>9145</v>
      </c>
      <c r="D657" t="str">
        <f>"Syngr1"</f>
        <v>Syngr1</v>
      </c>
      <c r="E657" t="s">
        <v>2032</v>
      </c>
      <c r="F657" t="s">
        <v>2033</v>
      </c>
      <c r="H657" s="519">
        <v>5</v>
      </c>
      <c r="I657" s="129">
        <v>3.1220235153620899</v>
      </c>
      <c r="J657" s="427">
        <v>3.5902800520185898</v>
      </c>
      <c r="K657" s="100">
        <v>2.7752826784167199</v>
      </c>
      <c r="L657" s="2423">
        <v>4.5391052835958803</v>
      </c>
      <c r="M657" s="598">
        <v>4.5386886640403503</v>
      </c>
      <c r="N657" s="1233">
        <v>4.2291196111470404</v>
      </c>
      <c r="O657" s="991">
        <v>3.0134022368684801</v>
      </c>
      <c r="P657" s="1565">
        <v>2.6291707527164401</v>
      </c>
      <c r="Q657" s="2246">
        <v>3.08962299061626</v>
      </c>
      <c r="R657" s="738">
        <v>3.3159877839195002</v>
      </c>
      <c r="S657" s="1271">
        <v>3.6970876503146899</v>
      </c>
      <c r="T657" s="1533">
        <v>3.7379395910488298</v>
      </c>
    </row>
    <row r="658" spans="1:20">
      <c r="A658" t="s">
        <v>2034</v>
      </c>
      <c r="B658" s="6" t="str">
        <f>HYPERLINK("http://www.ncbi.nlm.nih.gov/gene/20388", "20388")</f>
        <v>20388</v>
      </c>
      <c r="C658" s="6" t="str">
        <f>HYPERLINK("http://www.ncbi.nlm.nih.gov/gene/6439", "6439")</f>
        <v>6439</v>
      </c>
      <c r="D658" t="str">
        <f>"Sftpb"</f>
        <v>Sftpb</v>
      </c>
      <c r="E658" t="s">
        <v>2035</v>
      </c>
      <c r="F658" t="s">
        <v>2039</v>
      </c>
      <c r="H658" s="519">
        <v>5</v>
      </c>
      <c r="I658" s="81">
        <v>3.7744571325313001</v>
      </c>
      <c r="J658" s="204">
        <v>4.0354205229871196</v>
      </c>
      <c r="K658" s="109">
        <v>3.6236456937407899</v>
      </c>
      <c r="L658" s="2424">
        <v>5.33805104464534</v>
      </c>
      <c r="M658" s="707">
        <v>5.2256046084023797</v>
      </c>
      <c r="N658" s="693">
        <v>5.21593668762885</v>
      </c>
      <c r="O658" s="1348">
        <v>3.88723018887119</v>
      </c>
      <c r="P658" s="734">
        <v>3.8269549475765898</v>
      </c>
      <c r="Q658" s="2425">
        <v>3.4988495965914401</v>
      </c>
      <c r="R658" s="1122">
        <v>4.2854236203251999</v>
      </c>
      <c r="S658" s="1100">
        <v>4.2994391802086502</v>
      </c>
      <c r="T658" s="897">
        <v>4.0076085340832401</v>
      </c>
    </row>
    <row r="659" spans="1:20">
      <c r="A659" t="s">
        <v>2040</v>
      </c>
      <c r="B659" s="6" t="str">
        <f>HYPERLINK("http://www.ncbi.nlm.nih.gov/gene/16669", "16669")</f>
        <v>16669</v>
      </c>
      <c r="C659" s="6" t="str">
        <f>HYPERLINK("http://www.ncbi.nlm.nih.gov/gene/3880", "3880")</f>
        <v>3880</v>
      </c>
      <c r="D659" t="str">
        <f>"Krt19"</f>
        <v>Krt19</v>
      </c>
      <c r="E659" t="s">
        <v>2041</v>
      </c>
      <c r="F659" t="s">
        <v>2042</v>
      </c>
      <c r="H659" s="519">
        <v>5</v>
      </c>
      <c r="I659" s="73">
        <v>3.5473309044330001</v>
      </c>
      <c r="J659" s="87">
        <v>3.74528913853135</v>
      </c>
      <c r="K659" s="89">
        <v>3.5143474894981201</v>
      </c>
      <c r="L659" s="2426">
        <v>5.4725809000349299</v>
      </c>
      <c r="M659" s="679">
        <v>5.3101175038169997</v>
      </c>
      <c r="N659" s="707">
        <v>5.2579700160112104</v>
      </c>
      <c r="O659" s="1117">
        <v>3.6496059178796201</v>
      </c>
      <c r="P659" s="1346">
        <v>3.4718176173256299</v>
      </c>
      <c r="Q659" s="2406">
        <v>3.2417605254313702</v>
      </c>
      <c r="R659" s="543">
        <v>3.76192309439377</v>
      </c>
      <c r="S659" s="942">
        <v>4.1531671811289703</v>
      </c>
      <c r="T659" s="605">
        <v>3.7279577901897798</v>
      </c>
    </row>
    <row r="660" spans="1:20">
      <c r="A660" t="s">
        <v>2043</v>
      </c>
      <c r="B660" s="6" t="str">
        <f>HYPERLINK("http://www.ncbi.nlm.nih.gov/gene/20725", "20725")</f>
        <v>20725</v>
      </c>
      <c r="C660" s="6" t="str">
        <f>HYPERLINK("http://www.ncbi.nlm.nih.gov/gene/5271", "5271")</f>
        <v>5271</v>
      </c>
      <c r="D660" t="str">
        <f>"Serpinb8"</f>
        <v>Serpinb8</v>
      </c>
      <c r="E660" t="s">
        <v>2044</v>
      </c>
      <c r="F660" t="s">
        <v>2045</v>
      </c>
      <c r="H660" s="519">
        <v>5</v>
      </c>
      <c r="I660" s="248">
        <v>2.7417130542410302</v>
      </c>
      <c r="J660" s="69">
        <v>3.1654712033125199</v>
      </c>
      <c r="K660" s="53">
        <v>2.9430799490878599</v>
      </c>
      <c r="L660" s="2424">
        <v>4.3173829616455501</v>
      </c>
      <c r="M660" s="697">
        <v>4.2199650119895997</v>
      </c>
      <c r="N660" s="707">
        <v>4.2123798665221601</v>
      </c>
      <c r="O660" s="1020">
        <v>2.8175029719596099</v>
      </c>
      <c r="P660" s="1302">
        <v>2.7125754004573501</v>
      </c>
      <c r="Q660" s="2042">
        <v>2.78125970532101</v>
      </c>
      <c r="R660" s="813">
        <v>3.4527510239695798</v>
      </c>
      <c r="S660" s="1326">
        <v>3.1780566372046</v>
      </c>
      <c r="T660" s="605">
        <v>3.0368370643481999</v>
      </c>
    </row>
    <row r="661" spans="1:20">
      <c r="A661" t="s">
        <v>2046</v>
      </c>
      <c r="B661" s="6" t="str">
        <f>HYPERLINK("http://www.ncbi.nlm.nih.gov/gene/19267", "19267")</f>
        <v>19267</v>
      </c>
      <c r="C661" s="6" t="str">
        <f>HYPERLINK("http://www.ncbi.nlm.nih.gov/gene/5791", "5791")</f>
        <v>5791</v>
      </c>
      <c r="D661" t="str">
        <f>"Ptpre"</f>
        <v>Ptpre</v>
      </c>
      <c r="E661" t="s">
        <v>2019</v>
      </c>
      <c r="F661" t="s">
        <v>2047</v>
      </c>
      <c r="H661" s="519">
        <v>5</v>
      </c>
      <c r="I661" s="24">
        <v>3.8831904559814201</v>
      </c>
      <c r="J661" s="79">
        <v>4.1722150618585001</v>
      </c>
      <c r="K661" s="91">
        <v>4.06100963522952</v>
      </c>
      <c r="L661" s="1979">
        <v>6.8802000979222102</v>
      </c>
      <c r="M661" s="837">
        <v>6.83701327474403</v>
      </c>
      <c r="N661" s="597">
        <v>7.1600848082486896</v>
      </c>
      <c r="O661" s="1048">
        <v>3.8404791119742798</v>
      </c>
      <c r="P661" s="1330">
        <v>3.51444778942294</v>
      </c>
      <c r="Q661" s="2427">
        <v>3.8086612581619099</v>
      </c>
      <c r="R661" s="798">
        <v>4.9389494744829898</v>
      </c>
      <c r="S661" s="784">
        <v>4.8254505729383803</v>
      </c>
      <c r="T661" s="1566">
        <v>4.7852670925200904</v>
      </c>
    </row>
    <row r="662" spans="1:20">
      <c r="A662" t="s">
        <v>2048</v>
      </c>
      <c r="B662" s="6" t="str">
        <f>HYPERLINK("http://www.ncbi.nlm.nih.gov/gene/239857", "239857")</f>
        <v>239857</v>
      </c>
      <c r="C662" s="6" t="str">
        <f>HYPERLINK("http://www.ncbi.nlm.nih.gov/gene/253559", "253559")</f>
        <v>253559</v>
      </c>
      <c r="D662" t="str">
        <f>"Cadm2"</f>
        <v>Cadm2</v>
      </c>
      <c r="E662" t="s">
        <v>2049</v>
      </c>
      <c r="F662" t="s">
        <v>2050</v>
      </c>
      <c r="H662" s="519">
        <v>5</v>
      </c>
      <c r="I662" s="290">
        <v>2.8769008732421701</v>
      </c>
      <c r="J662" s="224">
        <v>3.3829997119890902</v>
      </c>
      <c r="K662" s="25">
        <v>3.1222233947848199</v>
      </c>
      <c r="L662" s="2428">
        <v>4.4402738202072998</v>
      </c>
      <c r="M662" s="689">
        <v>4.3549317358776998</v>
      </c>
      <c r="N662" s="640">
        <v>4.6466979805097104</v>
      </c>
      <c r="O662" s="1060">
        <v>3.13316032973189</v>
      </c>
      <c r="P662" s="1556">
        <v>2.66870915475078</v>
      </c>
      <c r="Q662" s="2314">
        <v>2.9282785737435799</v>
      </c>
      <c r="R662" s="1207">
        <v>3.4705413210546499</v>
      </c>
      <c r="S662" s="1254">
        <v>3.474156215002</v>
      </c>
      <c r="T662" s="812">
        <v>3.3970899261069198</v>
      </c>
    </row>
    <row r="663" spans="1:20">
      <c r="A663" t="s">
        <v>2051</v>
      </c>
      <c r="B663" s="6" t="str">
        <f>HYPERLINK("http://www.ncbi.nlm.nih.gov/gene/77963", "77963")</f>
        <v>77963</v>
      </c>
      <c r="C663" s="6" t="str">
        <f>HYPERLINK("http://www.ncbi.nlm.nih.gov/gene/51361", "51361")</f>
        <v>51361</v>
      </c>
      <c r="D663" t="str">
        <f>"Hook1"</f>
        <v>Hook1</v>
      </c>
      <c r="E663" t="s">
        <v>2052</v>
      </c>
      <c r="F663" t="s">
        <v>2036</v>
      </c>
      <c r="H663" s="519">
        <v>5</v>
      </c>
      <c r="I663" s="154">
        <v>3.4096672810490598</v>
      </c>
      <c r="J663" s="79">
        <v>3.5806969783364102</v>
      </c>
      <c r="K663" s="99">
        <v>3.7727900019587199</v>
      </c>
      <c r="L663" s="2429">
        <v>5.5429744944974804</v>
      </c>
      <c r="M663" s="804">
        <v>5.5549757141020697</v>
      </c>
      <c r="N663" s="711">
        <v>5.89428085970194</v>
      </c>
      <c r="O663" s="1146">
        <v>2.87689982252558</v>
      </c>
      <c r="P663" s="891">
        <v>3.5091534450443298</v>
      </c>
      <c r="Q663" s="2330">
        <v>3.1494440188015198</v>
      </c>
      <c r="R663" s="529">
        <v>3.8267669315846802</v>
      </c>
      <c r="S663" s="788">
        <v>4.3298038362238502</v>
      </c>
      <c r="T663" s="1389">
        <v>4.0855869707207901</v>
      </c>
    </row>
    <row r="664" spans="1:20">
      <c r="A664" t="s">
        <v>2037</v>
      </c>
      <c r="B664" s="6" t="str">
        <f>HYPERLINK("http://www.ncbi.nlm.nih.gov/gene/14164", "14164")</f>
        <v>14164</v>
      </c>
      <c r="C664" s="6" t="str">
        <f>HYPERLINK("http://www.ncbi.nlm.nih.gov/gene/2246", "2246")</f>
        <v>2246</v>
      </c>
      <c r="D664" t="str">
        <f>"Fgf1"</f>
        <v>Fgf1</v>
      </c>
      <c r="E664" t="s">
        <v>2038</v>
      </c>
      <c r="F664" t="s">
        <v>2056</v>
      </c>
      <c r="G664" t="s">
        <v>521</v>
      </c>
      <c r="H664" s="519">
        <v>5</v>
      </c>
      <c r="I664" s="75">
        <v>3.7786554347097701</v>
      </c>
      <c r="J664" s="59">
        <v>3.8928061639973301</v>
      </c>
      <c r="K664" s="111">
        <v>4.0622477255430001</v>
      </c>
      <c r="L664" s="2429">
        <v>5.4592494253284398</v>
      </c>
      <c r="M664" s="570">
        <v>5.5349148668148596</v>
      </c>
      <c r="N664" s="657">
        <v>5.4702017185953702</v>
      </c>
      <c r="O664" s="1449">
        <v>3.5067083271560202</v>
      </c>
      <c r="P664" s="1188">
        <v>3.7061516531369501</v>
      </c>
      <c r="Q664" s="2427">
        <v>3.79317969249847</v>
      </c>
      <c r="R664" s="920">
        <v>4.5047042586973598</v>
      </c>
      <c r="S664" s="928">
        <v>4.8038093738340502</v>
      </c>
      <c r="T664" s="1389">
        <v>4.3780003970029204</v>
      </c>
    </row>
    <row r="665" spans="1:20">
      <c r="A665" t="s">
        <v>2057</v>
      </c>
      <c r="B665" s="6" t="str">
        <f>HYPERLINK("http://www.ncbi.nlm.nih.gov/gene/20502", "20502")</f>
        <v>20502</v>
      </c>
      <c r="C665" s="6" t="str">
        <f>HYPERLINK("http://www.ncbi.nlm.nih.gov/gene/6567", "6567")</f>
        <v>6567</v>
      </c>
      <c r="D665" t="str">
        <f>"Slc16a2"</f>
        <v>Slc16a2</v>
      </c>
      <c r="E665" t="s">
        <v>2058</v>
      </c>
      <c r="F665" t="s">
        <v>2065</v>
      </c>
      <c r="H665" s="519">
        <v>5</v>
      </c>
      <c r="I665" s="57">
        <v>6.3584831417324397</v>
      </c>
      <c r="J665" s="43">
        <v>6.0281088740317701</v>
      </c>
      <c r="K665" s="62">
        <v>6.2409279404651796</v>
      </c>
      <c r="L665" s="2403">
        <v>8.2389566662991296</v>
      </c>
      <c r="M665" s="745">
        <v>8.1617493426903902</v>
      </c>
      <c r="N665" s="598">
        <v>8.2778120526875405</v>
      </c>
      <c r="O665" s="1142">
        <v>5.4955818257358402</v>
      </c>
      <c r="P665" s="1289">
        <v>5.7906619586280197</v>
      </c>
      <c r="Q665" s="2427">
        <v>5.9359759169592499</v>
      </c>
      <c r="R665" s="781">
        <v>6.7523872620029897</v>
      </c>
      <c r="S665" s="1401">
        <v>6.8244666284470199</v>
      </c>
      <c r="T665" s="1509">
        <v>6.7733560461201803</v>
      </c>
    </row>
    <row r="666" spans="1:20">
      <c r="A666" t="s">
        <v>2066</v>
      </c>
      <c r="B666" s="6" t="str">
        <f>HYPERLINK("http://www.ncbi.nlm.nih.gov/gene/16564", "16564")</f>
        <v>16564</v>
      </c>
      <c r="C666" s="6" t="str">
        <f>HYPERLINK("http://www.ncbi.nlm.nih.gov/gene/55605", "55605")</f>
        <v>55605</v>
      </c>
      <c r="D666" t="str">
        <f>"Kif21a"</f>
        <v>Kif21a</v>
      </c>
      <c r="E666" t="s">
        <v>2067</v>
      </c>
      <c r="F666" t="s">
        <v>2053</v>
      </c>
      <c r="H666" s="519">
        <v>5</v>
      </c>
      <c r="I666" s="99">
        <v>4.7910694232909004</v>
      </c>
      <c r="J666" s="182">
        <v>4.5287872469266404</v>
      </c>
      <c r="K666" s="111">
        <v>4.6618732484418102</v>
      </c>
      <c r="L666" s="2430">
        <v>6.9061683897881601</v>
      </c>
      <c r="M666" s="571">
        <v>6.7745917168599101</v>
      </c>
      <c r="N666" s="653">
        <v>7.1531158922683904</v>
      </c>
      <c r="O666" s="1554">
        <v>3.84235986566667</v>
      </c>
      <c r="P666" s="567">
        <v>4.1900773216224101</v>
      </c>
      <c r="Q666" s="2147">
        <v>4.0932920120021601</v>
      </c>
      <c r="R666" s="726">
        <v>5.0882774116952598</v>
      </c>
      <c r="S666" s="781">
        <v>5.2014003371078301</v>
      </c>
      <c r="T666" s="1567">
        <v>4.9972892658603003</v>
      </c>
    </row>
    <row r="667" spans="1:20">
      <c r="A667" t="s">
        <v>2054</v>
      </c>
      <c r="B667" s="6" t="str">
        <f>HYPERLINK("http://www.ncbi.nlm.nih.gov/gene/114249", "114249")</f>
        <v>114249</v>
      </c>
      <c r="C667" s="6" t="str">
        <f>HYPERLINK("http://www.ncbi.nlm.nih.gov/gene/255743", "255743")</f>
        <v>255743</v>
      </c>
      <c r="D667" t="str">
        <f>"Npnt"</f>
        <v>Npnt</v>
      </c>
      <c r="E667" t="s">
        <v>2055</v>
      </c>
      <c r="F667" t="s">
        <v>2059</v>
      </c>
      <c r="G667" t="s">
        <v>2060</v>
      </c>
      <c r="H667" s="519">
        <v>5</v>
      </c>
      <c r="I667" s="128">
        <v>6.9765121862725801</v>
      </c>
      <c r="J667" s="34">
        <v>6.8112447732933799</v>
      </c>
      <c r="K667" s="87">
        <v>6.97253075257355</v>
      </c>
      <c r="L667" s="2428">
        <v>7.9910412720278696</v>
      </c>
      <c r="M667" s="693">
        <v>7.9976429851299997</v>
      </c>
      <c r="N667" s="565">
        <v>8.0755645308049804</v>
      </c>
      <c r="O667" s="1064">
        <v>6.6744479124426102</v>
      </c>
      <c r="P667" s="1447">
        <v>6.5173775595759</v>
      </c>
      <c r="Q667" s="2042">
        <v>6.7297682875802103</v>
      </c>
      <c r="R667" s="1122">
        <v>7.2223489947643102</v>
      </c>
      <c r="S667" s="1213">
        <v>7.2676696726038399</v>
      </c>
      <c r="T667" s="1384">
        <v>7.0886471095324204</v>
      </c>
    </row>
    <row r="668" spans="1:20">
      <c r="A668" t="s">
        <v>2061</v>
      </c>
      <c r="B668" s="6" t="str">
        <f>HYPERLINK("http://www.ncbi.nlm.nih.gov/gene/101240", "101240")</f>
        <v>101240</v>
      </c>
      <c r="C668" s="6" t="str">
        <f>HYPERLINK("http://www.ncbi.nlm.nih.gov/gene/29062", "29062")</f>
        <v>29062</v>
      </c>
      <c r="D668" t="str">
        <f>"Wdr91"</f>
        <v>Wdr91</v>
      </c>
      <c r="E668" t="s">
        <v>2062</v>
      </c>
      <c r="F668" t="s">
        <v>90</v>
      </c>
      <c r="H668" s="519">
        <v>5</v>
      </c>
      <c r="I668" s="69">
        <v>5.9226103927596698</v>
      </c>
      <c r="J668" s="105">
        <v>5.7553725799424598</v>
      </c>
      <c r="K668" s="34">
        <v>5.65596768654855</v>
      </c>
      <c r="L668" s="2431">
        <v>6.8904040839652296</v>
      </c>
      <c r="M668" s="811">
        <v>6.9041889117178403</v>
      </c>
      <c r="N668" s="707">
        <v>6.8741864529588996</v>
      </c>
      <c r="O668" s="1089">
        <v>5.6411971828962404</v>
      </c>
      <c r="P668" s="1327">
        <v>5.3751436079024399</v>
      </c>
      <c r="Q668" s="2432">
        <v>5.4623248694647302</v>
      </c>
      <c r="R668" s="655">
        <v>5.8478678881645001</v>
      </c>
      <c r="S668" s="672">
        <v>6.0018360983487904</v>
      </c>
      <c r="T668" s="1560">
        <v>6.21285136441543</v>
      </c>
    </row>
    <row r="669" spans="1:20">
      <c r="A669" t="s">
        <v>2063</v>
      </c>
      <c r="B669" s="6" t="str">
        <f>HYPERLINK("http://www.ncbi.nlm.nih.gov/gene/73191", "73191")</f>
        <v>73191</v>
      </c>
      <c r="C669" s="6" t="str">
        <f>HYPERLINK("http://www.ncbi.nlm.nih.gov/gene/389549", "389549")</f>
        <v>389549</v>
      </c>
      <c r="D669" t="str">
        <f>"Fezf1"</f>
        <v>Fezf1</v>
      </c>
      <c r="E669" t="s">
        <v>2064</v>
      </c>
      <c r="F669" t="s">
        <v>2068</v>
      </c>
      <c r="H669" s="519">
        <v>5</v>
      </c>
      <c r="I669" s="62">
        <v>4.11660002845381</v>
      </c>
      <c r="J669" s="89">
        <v>3.90882723078929</v>
      </c>
      <c r="K669" s="239">
        <v>3.7143744084215302</v>
      </c>
      <c r="L669" s="2428">
        <v>6.3123719984689304</v>
      </c>
      <c r="M669" s="811">
        <v>6.3953637178849503</v>
      </c>
      <c r="N669" s="868">
        <v>6.53878122334027</v>
      </c>
      <c r="O669" s="1046">
        <v>4.0120977810052301</v>
      </c>
      <c r="P669" s="859">
        <v>3.76695960251983</v>
      </c>
      <c r="Q669" s="2433">
        <v>3.4979543958441899</v>
      </c>
      <c r="R669" s="690">
        <v>4.6679960975388104</v>
      </c>
      <c r="S669" s="942">
        <v>4.7983965723564497</v>
      </c>
      <c r="T669" s="744">
        <v>4.4624029083840702</v>
      </c>
    </row>
    <row r="670" spans="1:20">
      <c r="A670" t="s">
        <v>2069</v>
      </c>
      <c r="B670" s="6" t="str">
        <f>HYPERLINK("http://www.ncbi.nlm.nih.gov/gene/77531", "77531")</f>
        <v>77531</v>
      </c>
      <c r="C670" s="6" t="str">
        <f>HYPERLINK("http://www.ncbi.nlm.nih.gov/gene/56899", "56899")</f>
        <v>56899</v>
      </c>
      <c r="D670" t="str">
        <f>"Anks1b"</f>
        <v>Anks1b</v>
      </c>
      <c r="E670" t="s">
        <v>2070</v>
      </c>
      <c r="F670" t="s">
        <v>2071</v>
      </c>
      <c r="H670" s="519">
        <v>5</v>
      </c>
      <c r="I670" s="28">
        <v>2.7872412242971101</v>
      </c>
      <c r="J670" s="79">
        <v>2.7351627169586701</v>
      </c>
      <c r="K670" s="239">
        <v>2.4164155173804902</v>
      </c>
      <c r="L670" s="2421">
        <v>4.6899968710350697</v>
      </c>
      <c r="M670" s="756">
        <v>4.6042350812827397</v>
      </c>
      <c r="N670" s="841">
        <v>5.0770905806655504</v>
      </c>
      <c r="O670" s="1348">
        <v>2.7177503671542</v>
      </c>
      <c r="P670" s="1188">
        <v>2.3444669194385601</v>
      </c>
      <c r="Q670" s="2045">
        <v>2.1899985731221601</v>
      </c>
      <c r="R670" s="658">
        <v>3.1814385576065098</v>
      </c>
      <c r="S670" s="793">
        <v>3.1107517289841402</v>
      </c>
      <c r="T670" s="802">
        <v>3.39575850091498</v>
      </c>
    </row>
    <row r="671" spans="1:20">
      <c r="A671" t="s">
        <v>2072</v>
      </c>
      <c r="B671" s="6" t="str">
        <f>HYPERLINK("http://www.ncbi.nlm.nih.gov/gene/18510", "18510")</f>
        <v>18510</v>
      </c>
      <c r="C671" s="6" t="str">
        <f>HYPERLINK("http://www.ncbi.nlm.nih.gov/gene/7849", "7849")</f>
        <v>7849</v>
      </c>
      <c r="D671" t="str">
        <f>"Pax8"</f>
        <v>Pax8</v>
      </c>
      <c r="E671" t="s">
        <v>2073</v>
      </c>
      <c r="F671" t="s">
        <v>2074</v>
      </c>
      <c r="G671" t="s">
        <v>2081</v>
      </c>
      <c r="H671" s="519">
        <v>5</v>
      </c>
      <c r="I671" s="35">
        <v>3.6292188900332798</v>
      </c>
      <c r="J671" s="129">
        <v>3.4364584268017802</v>
      </c>
      <c r="K671" s="60">
        <v>3.111280529454</v>
      </c>
      <c r="L671" s="2434">
        <v>8.3595162297492003</v>
      </c>
      <c r="M671" s="718">
        <v>8.3057562584685805</v>
      </c>
      <c r="N671" s="661">
        <v>8.5828624947664398</v>
      </c>
      <c r="O671" s="1192">
        <v>2.7918496430216102</v>
      </c>
      <c r="P671" s="1153">
        <v>2.5450342173868199</v>
      </c>
      <c r="Q671" s="2435">
        <v>2.4445314989323998</v>
      </c>
      <c r="R671" s="690">
        <v>4.8671963234242401</v>
      </c>
      <c r="S671" s="939">
        <v>5.5368517050553701</v>
      </c>
      <c r="T671" s="839">
        <v>5.0499522172187801</v>
      </c>
    </row>
    <row r="672" spans="1:20">
      <c r="A672" t="s">
        <v>2082</v>
      </c>
      <c r="B672" s="6" t="str">
        <f>HYPERLINK("http://www.ncbi.nlm.nih.gov/gene/99887", "99887")</f>
        <v>99887</v>
      </c>
      <c r="C672" s="6" t="str">
        <f>HYPERLINK("http://www.ncbi.nlm.nih.gov/gene/148534", "148534")</f>
        <v>148534</v>
      </c>
      <c r="D672" t="str">
        <f>"Tmem56"</f>
        <v>Tmem56</v>
      </c>
      <c r="E672" t="s">
        <v>2083</v>
      </c>
      <c r="F672" t="s">
        <v>37</v>
      </c>
      <c r="H672" s="519">
        <v>5</v>
      </c>
      <c r="I672" s="114">
        <v>2.7903028854442198</v>
      </c>
      <c r="J672" s="51">
        <v>2.6069949540739898</v>
      </c>
      <c r="K672" s="239">
        <v>2.4803935681623899</v>
      </c>
      <c r="L672" s="1972">
        <v>5.5416600464075501</v>
      </c>
      <c r="M672" s="686">
        <v>5.8804769151110703</v>
      </c>
      <c r="N672" s="608">
        <v>6.1458553724115097</v>
      </c>
      <c r="O672" s="1568">
        <v>2.6121584148486798</v>
      </c>
      <c r="P672" s="1308">
        <v>2.2644491664048201</v>
      </c>
      <c r="Q672" s="2097">
        <v>2.5554495359915701</v>
      </c>
      <c r="R672" s="798">
        <v>3.7618505213744902</v>
      </c>
      <c r="S672" s="739">
        <v>4.01152568758482</v>
      </c>
      <c r="T672" s="1527">
        <v>3.9409867951839499</v>
      </c>
    </row>
    <row r="673" spans="1:20">
      <c r="A673" t="s">
        <v>2084</v>
      </c>
      <c r="B673" s="6" t="str">
        <f>HYPERLINK("http://www.ncbi.nlm.nih.gov/gene/103978", "103978")</f>
        <v>103978</v>
      </c>
      <c r="C673" s="6" t="str">
        <f>HYPERLINK("http://www.ncbi.nlm.nih.gov/gene/2262", "2262")</f>
        <v>2262</v>
      </c>
      <c r="D673" t="str">
        <f>"Gpc5"</f>
        <v>Gpc5</v>
      </c>
      <c r="E673" t="s">
        <v>2085</v>
      </c>
      <c r="F673" t="s">
        <v>2086</v>
      </c>
      <c r="H673" s="519">
        <v>5</v>
      </c>
      <c r="I673" s="114">
        <v>3.2493613561959598</v>
      </c>
      <c r="J673" s="311">
        <v>3.10617550012444</v>
      </c>
      <c r="K673" s="43">
        <v>3.17071823621913</v>
      </c>
      <c r="L673" s="2415">
        <v>5.1691712925829103</v>
      </c>
      <c r="M673" s="590">
        <v>5.2390331276188604</v>
      </c>
      <c r="N673" s="868">
        <v>5.5271793650399399</v>
      </c>
      <c r="O673" s="1086">
        <v>2.9956830219424502</v>
      </c>
      <c r="P673" s="1330">
        <v>2.8649110469321601</v>
      </c>
      <c r="Q673" s="2436">
        <v>2.9473884350336301</v>
      </c>
      <c r="R673" s="1122">
        <v>3.93534253612642</v>
      </c>
      <c r="S673" s="1454">
        <v>4.2024725978145696</v>
      </c>
      <c r="T673" s="1506">
        <v>4.2212528304332801</v>
      </c>
    </row>
    <row r="674" spans="1:20">
      <c r="A674" t="s">
        <v>2087</v>
      </c>
      <c r="B674" s="6" t="str">
        <f>HYPERLINK("http://www.ncbi.nlm.nih.gov/gene/15442", "15442")</f>
        <v>15442</v>
      </c>
      <c r="C674" s="6" t="str">
        <f>HYPERLINK("http://www.ncbi.nlm.nih.gov/gene/10855", "10855")</f>
        <v>10855</v>
      </c>
      <c r="D674" t="str">
        <f>"Hpse"</f>
        <v>Hpse</v>
      </c>
      <c r="E674" t="s">
        <v>2088</v>
      </c>
      <c r="F674" t="s">
        <v>2089</v>
      </c>
      <c r="G674" t="s">
        <v>2075</v>
      </c>
      <c r="H674" s="519">
        <v>5</v>
      </c>
      <c r="I674" s="46">
        <v>4.6991626414725598</v>
      </c>
      <c r="J674" s="60">
        <v>4.61689330902077</v>
      </c>
      <c r="K674" s="194">
        <v>4.6254367722786602</v>
      </c>
      <c r="L674" s="2437">
        <v>6.8517279115968499</v>
      </c>
      <c r="M674" s="745">
        <v>6.8987813147755404</v>
      </c>
      <c r="N674" s="679">
        <v>7.0019985328014398</v>
      </c>
      <c r="O674" s="1005">
        <v>4.5222930889824999</v>
      </c>
      <c r="P674" s="987">
        <v>4.3412323579950902</v>
      </c>
      <c r="Q674" s="2128">
        <v>4.36822036020535</v>
      </c>
      <c r="R674" s="1251">
        <v>5.4947321152072597</v>
      </c>
      <c r="S674" s="939">
        <v>5.6880684598995801</v>
      </c>
      <c r="T674" s="765">
        <v>5.6967200187576399</v>
      </c>
    </row>
    <row r="675" spans="1:20">
      <c r="A675" t="s">
        <v>2076</v>
      </c>
      <c r="B675" s="6" t="str">
        <f>HYPERLINK("http://www.ncbi.nlm.nih.gov/gene/381373", "381373")</f>
        <v>381373</v>
      </c>
      <c r="C675" s="6" t="str">
        <f>HYPERLINK("http://www.ncbi.nlm.nih.gov/gene/100131390", "100131390")</f>
        <v>100131390</v>
      </c>
      <c r="D675" t="str">
        <f>"Sp9"</f>
        <v>Sp9</v>
      </c>
      <c r="E675" t="s">
        <v>2077</v>
      </c>
      <c r="F675" t="s">
        <v>2078</v>
      </c>
      <c r="H675" s="519">
        <v>5</v>
      </c>
      <c r="I675" s="74">
        <v>4.2963713490493403</v>
      </c>
      <c r="J675" s="147">
        <v>4.5479878211059397</v>
      </c>
      <c r="K675" s="64">
        <v>4.0506454517648498</v>
      </c>
      <c r="L675" s="2438">
        <v>5.2050549204303298</v>
      </c>
      <c r="M675" s="576">
        <v>5.5348800280733697</v>
      </c>
      <c r="N675" s="565">
        <v>5.5445259853047997</v>
      </c>
      <c r="O675" s="1177">
        <v>3.9375202189835998</v>
      </c>
      <c r="P675" s="1308">
        <v>3.9299086375481802</v>
      </c>
      <c r="Q675" s="2439">
        <v>3.7410694256883201</v>
      </c>
      <c r="R675" s="751">
        <v>4.5907190798981601</v>
      </c>
      <c r="S675" s="1251">
        <v>4.6107256809945696</v>
      </c>
      <c r="T675" s="1569">
        <v>4.6690403702598999</v>
      </c>
    </row>
    <row r="676" spans="1:20">
      <c r="A676" t="s">
        <v>2079</v>
      </c>
      <c r="B676" s="6" t="str">
        <f>HYPERLINK("http://www.ncbi.nlm.nih.gov/gene/19713", "19713")</f>
        <v>19713</v>
      </c>
      <c r="C676" s="6" t="str">
        <f>HYPERLINK("http://www.ncbi.nlm.nih.gov/gene/5979", "5979")</f>
        <v>5979</v>
      </c>
      <c r="D676" t="str">
        <f>"Ret"</f>
        <v>Ret</v>
      </c>
      <c r="E676" t="s">
        <v>2080</v>
      </c>
      <c r="F676" t="s">
        <v>2090</v>
      </c>
      <c r="G676" t="s">
        <v>2107</v>
      </c>
      <c r="H676" s="519">
        <v>5</v>
      </c>
      <c r="I676" s="44">
        <v>4.7670193245075403</v>
      </c>
      <c r="J676" s="87">
        <v>4.7282823450334197</v>
      </c>
      <c r="K676" s="61">
        <v>4.5106680002035597</v>
      </c>
      <c r="L676" s="2440">
        <v>6.9999349673779001</v>
      </c>
      <c r="M676" s="565">
        <v>7.4807780546986198</v>
      </c>
      <c r="N676" s="565">
        <v>7.4964455274396897</v>
      </c>
      <c r="O676" s="1462">
        <v>3.8709906813372301</v>
      </c>
      <c r="P676" s="1302">
        <v>3.9724621815367001</v>
      </c>
      <c r="Q676" s="2322">
        <v>3.5829600026809998</v>
      </c>
      <c r="R676" s="845">
        <v>5.6019199991577802</v>
      </c>
      <c r="S676" s="854">
        <v>5.0998414355147901</v>
      </c>
      <c r="T676" s="646">
        <v>5.2479199726857404</v>
      </c>
    </row>
    <row r="677" spans="1:20">
      <c r="A677" t="s">
        <v>2091</v>
      </c>
      <c r="B677" s="6" t="str">
        <f>HYPERLINK("http://www.ncbi.nlm.nih.gov/gene/270672", "270672")</f>
        <v>270672</v>
      </c>
      <c r="C677" s="6" t="str">
        <f>HYPERLINK("http://www.ncbi.nlm.nih.gov/gene/389840", "389840")</f>
        <v>389840</v>
      </c>
      <c r="D677" t="str">
        <f>"Map3k15"</f>
        <v>Map3k15</v>
      </c>
      <c r="E677" t="s">
        <v>2092</v>
      </c>
      <c r="F677" t="s">
        <v>2093</v>
      </c>
      <c r="H677" s="519">
        <v>5</v>
      </c>
      <c r="I677" s="87">
        <v>4.13083681629438</v>
      </c>
      <c r="J677" s="68">
        <v>4.0834572350023803</v>
      </c>
      <c r="K677" s="98">
        <v>3.9669564261612602</v>
      </c>
      <c r="L677" s="2441">
        <v>5.5758786240504303</v>
      </c>
      <c r="M677" s="565">
        <v>5.8500843845721002</v>
      </c>
      <c r="N677" s="617">
        <v>5.9018421596969102</v>
      </c>
      <c r="O677" s="1570">
        <v>3.52380765698988</v>
      </c>
      <c r="P677" s="555">
        <v>3.7139074864012702</v>
      </c>
      <c r="Q677" s="2128">
        <v>3.62566018174922</v>
      </c>
      <c r="R677" s="1297">
        <v>4.6126086038339196</v>
      </c>
      <c r="S677" s="1207">
        <v>4.4473738819989999</v>
      </c>
      <c r="T677" s="664">
        <v>4.2906729439385396</v>
      </c>
    </row>
    <row r="678" spans="1:20">
      <c r="A678" t="s">
        <v>2094</v>
      </c>
      <c r="B678" s="6" t="str">
        <f>HYPERLINK("http://www.ncbi.nlm.nih.gov/gene/226419", "226419")</f>
        <v>226419</v>
      </c>
      <c r="C678" s="6" t="str">
        <f>HYPERLINK("http://www.ncbi.nlm.nih.gov/gene/8444", "8444")</f>
        <v>8444</v>
      </c>
      <c r="D678" t="str">
        <f>"Dyrk3"</f>
        <v>Dyrk3</v>
      </c>
      <c r="E678" t="s">
        <v>2095</v>
      </c>
      <c r="F678" t="s">
        <v>2096</v>
      </c>
      <c r="H678" s="519">
        <v>5</v>
      </c>
      <c r="I678" s="68">
        <v>4.30658347767391</v>
      </c>
      <c r="J678" s="61">
        <v>4.2512597813281303</v>
      </c>
      <c r="K678" s="43">
        <v>4.14844663450714</v>
      </c>
      <c r="L678" s="1985">
        <v>5.34229769941612</v>
      </c>
      <c r="M678" s="679">
        <v>5.5675245609438599</v>
      </c>
      <c r="N678" s="565">
        <v>5.6133394594931403</v>
      </c>
      <c r="O678" s="1571">
        <v>3.9468341368150899</v>
      </c>
      <c r="P678" s="1179">
        <v>4.0811912516245004</v>
      </c>
      <c r="Q678" s="2130">
        <v>3.80097200299865</v>
      </c>
      <c r="R678" s="942">
        <v>4.6678845121871104</v>
      </c>
      <c r="S678" s="626">
        <v>4.7097772868653101</v>
      </c>
      <c r="T678" s="1451">
        <v>4.7640164623617496</v>
      </c>
    </row>
    <row r="679" spans="1:20">
      <c r="A679" t="s">
        <v>2097</v>
      </c>
      <c r="B679" s="6" t="str">
        <f>HYPERLINK("http://www.ncbi.nlm.nih.gov/gene/21912", "21912")</f>
        <v>21912</v>
      </c>
      <c r="C679" s="6" t="str">
        <f>HYPERLINK("http://www.ncbi.nlm.nih.gov/gene/7102", "7102")</f>
        <v>7102</v>
      </c>
      <c r="D679" t="str">
        <f>"Tspan7"</f>
        <v>Tspan7</v>
      </c>
      <c r="E679" t="s">
        <v>2098</v>
      </c>
      <c r="F679" t="s">
        <v>2118</v>
      </c>
      <c r="H679" s="519">
        <v>5</v>
      </c>
      <c r="I679" s="36">
        <v>8.2310560930908707</v>
      </c>
      <c r="J679" s="139">
        <v>8.2360875203806305</v>
      </c>
      <c r="K679" s="68">
        <v>8.2129230488416898</v>
      </c>
      <c r="L679" s="2408">
        <v>10.0435863403006</v>
      </c>
      <c r="M679" s="571">
        <v>9.9509107354895701</v>
      </c>
      <c r="N679" s="777">
        <v>10.1333988292096</v>
      </c>
      <c r="O679" s="1460">
        <v>7.7259297310991402</v>
      </c>
      <c r="P679" s="987">
        <v>7.6866795017250702</v>
      </c>
      <c r="Q679" s="2442">
        <v>7.44412389474269</v>
      </c>
      <c r="R679" s="849">
        <v>8.5194468684765106</v>
      </c>
      <c r="S679" s="805">
        <v>8.7924973059584204</v>
      </c>
      <c r="T679" s="797">
        <v>8.7887964815258393</v>
      </c>
    </row>
    <row r="680" spans="1:20">
      <c r="A680" t="s">
        <v>2119</v>
      </c>
      <c r="B680" s="6" t="str">
        <f>HYPERLINK("http://www.ncbi.nlm.nih.gov/gene/229214", "229214")</f>
        <v>229214</v>
      </c>
      <c r="C680" s="6" t="str">
        <f>HYPERLINK("http://www.ncbi.nlm.nih.gov/gene/84109", "84109")</f>
        <v>84109</v>
      </c>
      <c r="D680" t="str">
        <f>"Qrfpr"</f>
        <v>Qrfpr</v>
      </c>
      <c r="E680" t="s">
        <v>2120</v>
      </c>
      <c r="F680" t="s">
        <v>2108</v>
      </c>
      <c r="H680" s="519">
        <v>5</v>
      </c>
      <c r="I680" s="312">
        <v>2.43214067218041</v>
      </c>
      <c r="J680" s="96">
        <v>2.8910314967453599</v>
      </c>
      <c r="K680" s="58">
        <v>2.6944205710986702</v>
      </c>
      <c r="L680" s="2443">
        <v>4.5033007408302304</v>
      </c>
      <c r="M680" s="1246">
        <v>3.9767482168435899</v>
      </c>
      <c r="N680" s="526">
        <v>4.9234076211912301</v>
      </c>
      <c r="O680" s="1548">
        <v>2.54644909049791</v>
      </c>
      <c r="P680" s="906">
        <v>3.0092915352585901</v>
      </c>
      <c r="Q680" s="2254">
        <v>3.0362100877790801</v>
      </c>
      <c r="R680" s="533">
        <v>2.83945245800329</v>
      </c>
      <c r="S680" s="670">
        <v>3.0005837035262601</v>
      </c>
      <c r="T680" s="605">
        <v>2.88528525558847</v>
      </c>
    </row>
    <row r="681" spans="1:20">
      <c r="A681" t="s">
        <v>2121</v>
      </c>
      <c r="B681" s="6" t="str">
        <f>HYPERLINK("http://www.ncbi.nlm.nih.gov/gene/20856", "20856")</f>
        <v>20856</v>
      </c>
      <c r="C681" s="6" t="str">
        <f>HYPERLINK("http://www.ncbi.nlm.nih.gov/gene/8614", "8614")</f>
        <v>8614</v>
      </c>
      <c r="D681" t="str">
        <f>"Stc2"</f>
        <v>Stc2</v>
      </c>
      <c r="E681" t="s">
        <v>2122</v>
      </c>
      <c r="F681" t="s">
        <v>2123</v>
      </c>
      <c r="H681" s="519">
        <v>5</v>
      </c>
      <c r="I681" s="190">
        <v>5.5039464555352504</v>
      </c>
      <c r="J681" s="185">
        <v>5.7817432138636704</v>
      </c>
      <c r="K681" s="52">
        <v>5.4726228337197904</v>
      </c>
      <c r="L681" s="2444">
        <v>6.92527300962354</v>
      </c>
      <c r="M681" s="881">
        <v>6.3440529149454603</v>
      </c>
      <c r="N681" s="1014">
        <v>7.1139218450762396</v>
      </c>
      <c r="O681" s="1133">
        <v>4.9316273421883796</v>
      </c>
      <c r="P681" s="892">
        <v>5.4216897959111403</v>
      </c>
      <c r="Q681" s="2071">
        <v>5.2711721787177996</v>
      </c>
      <c r="R681" s="872">
        <v>5.0959409331713603</v>
      </c>
      <c r="S681" s="537">
        <v>5.2071541635655603</v>
      </c>
      <c r="T681" s="1344">
        <v>5.2675070182497103</v>
      </c>
    </row>
    <row r="682" spans="1:20">
      <c r="A682" t="s">
        <v>2124</v>
      </c>
      <c r="B682" s="6" t="str">
        <f>HYPERLINK("http://www.ncbi.nlm.nih.gov/gene/635169", "635169")</f>
        <v>635169</v>
      </c>
      <c r="C682" s="6" t="str">
        <f>HYPERLINK("http://www.ncbi.nlm.nih.gov/gene/84970", "84970")</f>
        <v>84970</v>
      </c>
      <c r="D682" t="str">
        <f>"CK137956"</f>
        <v>CK137956</v>
      </c>
      <c r="E682" t="s">
        <v>2099</v>
      </c>
      <c r="F682" t="s">
        <v>90</v>
      </c>
      <c r="H682" s="519">
        <v>5</v>
      </c>
      <c r="I682" s="53">
        <v>3.7894738996091002</v>
      </c>
      <c r="J682" s="197">
        <v>4.2266732234304198</v>
      </c>
      <c r="K682" s="89">
        <v>3.7159311120218899</v>
      </c>
      <c r="L682" s="2405">
        <v>5.03706011382494</v>
      </c>
      <c r="M682" s="526">
        <v>5.5301059079584602</v>
      </c>
      <c r="N682" s="1198">
        <v>4.9466209249409596</v>
      </c>
      <c r="O682" s="1117">
        <v>3.8208508786075499</v>
      </c>
      <c r="P682" s="1006">
        <v>3.9000864091752701</v>
      </c>
      <c r="Q682" s="2331">
        <v>3.5094705202474601</v>
      </c>
      <c r="R682" s="680">
        <v>3.9244617594313298</v>
      </c>
      <c r="S682" s="561">
        <v>3.6847599947268201</v>
      </c>
      <c r="T682" s="605">
        <v>3.8864815553187402</v>
      </c>
    </row>
    <row r="683" spans="1:20">
      <c r="A683" t="s">
        <v>2100</v>
      </c>
      <c r="B683" s="6" t="str">
        <f>HYPERLINK("http://www.ncbi.nlm.nih.gov/gene/14706", "14706")</f>
        <v>14706</v>
      </c>
      <c r="C683" s="6" t="str">
        <f>HYPERLINK("http://www.ncbi.nlm.nih.gov/gene/2786", "2786")</f>
        <v>2786</v>
      </c>
      <c r="D683" t="str">
        <f>"Gng4"</f>
        <v>Gng4</v>
      </c>
      <c r="E683" t="s">
        <v>2101</v>
      </c>
      <c r="F683" t="s">
        <v>2104</v>
      </c>
      <c r="G683" t="s">
        <v>1000</v>
      </c>
      <c r="H683" s="519">
        <v>5</v>
      </c>
      <c r="I683" s="24">
        <v>4.7464126557964903</v>
      </c>
      <c r="J683" s="63">
        <v>5.2488250696052798</v>
      </c>
      <c r="K683" s="105">
        <v>4.8922932171416802</v>
      </c>
      <c r="L683" s="2445">
        <v>6.1259318943321999</v>
      </c>
      <c r="M683" s="526">
        <v>6.3889737663375001</v>
      </c>
      <c r="N683" s="749">
        <v>5.8825255416853501</v>
      </c>
      <c r="O683" s="1362">
        <v>4.6066663076851304</v>
      </c>
      <c r="P683" s="906">
        <v>5.03505149759786</v>
      </c>
      <c r="Q683" s="2053">
        <v>4.9519924238412303</v>
      </c>
      <c r="R683" s="604">
        <v>4.9487375924574897</v>
      </c>
      <c r="S683" s="876">
        <v>4.7111210651572204</v>
      </c>
      <c r="T683" s="611">
        <v>4.8876794729213699</v>
      </c>
    </row>
    <row r="684" spans="1:20">
      <c r="A684" t="s">
        <v>2105</v>
      </c>
      <c r="B684" s="6" t="str">
        <f>HYPERLINK("http://www.ncbi.nlm.nih.gov/gene/110805", "110805")</f>
        <v>110805</v>
      </c>
      <c r="C684" s="6" t="str">
        <f>HYPERLINK("http://www.ncbi.nlm.nih.gov/gene/2304", "2304")</f>
        <v>2304</v>
      </c>
      <c r="D684" t="str">
        <f>"Foxe1"</f>
        <v>Foxe1</v>
      </c>
      <c r="E684" t="s">
        <v>2106</v>
      </c>
      <c r="F684" t="s">
        <v>2102</v>
      </c>
      <c r="H684" s="519">
        <v>5</v>
      </c>
      <c r="I684" s="110">
        <v>4.8864553904674199</v>
      </c>
      <c r="J684" s="38">
        <v>5.2076816393926304</v>
      </c>
      <c r="K684" s="73">
        <v>4.6391712588441001</v>
      </c>
      <c r="L684" s="2446">
        <v>6.9991354023310697</v>
      </c>
      <c r="M684" s="617">
        <v>6.9940910844079101</v>
      </c>
      <c r="N684" s="686">
        <v>6.8296853335792003</v>
      </c>
      <c r="O684" s="1351">
        <v>4.7965890205031396</v>
      </c>
      <c r="P684" s="619">
        <v>4.5852669726004498</v>
      </c>
      <c r="Q684" s="2056">
        <v>4.49517047359023</v>
      </c>
      <c r="R684" s="610">
        <v>4.7581476235408804</v>
      </c>
      <c r="S684" s="573">
        <v>4.6035074354651098</v>
      </c>
      <c r="T684" s="588">
        <v>4.8206979461503998</v>
      </c>
    </row>
    <row r="685" spans="1:20">
      <c r="A685" t="s">
        <v>2103</v>
      </c>
      <c r="B685" s="6" t="str">
        <f>HYPERLINK("http://www.ncbi.nlm.nih.gov/gene/18802", "18802")</f>
        <v>18802</v>
      </c>
      <c r="C685" s="6" t="str">
        <f>HYPERLINK("http://www.ncbi.nlm.nih.gov/gene/84812", "84812")</f>
        <v>84812</v>
      </c>
      <c r="D685" t="str">
        <f>"Plcd4"</f>
        <v>Plcd4</v>
      </c>
      <c r="E685" t="s">
        <v>2134</v>
      </c>
      <c r="F685" t="s">
        <v>2109</v>
      </c>
      <c r="G685" t="s">
        <v>1396</v>
      </c>
      <c r="H685" s="519">
        <v>5</v>
      </c>
      <c r="I685" s="111">
        <v>3.0229206072473902</v>
      </c>
      <c r="J685" s="262">
        <v>3.2331383235343001</v>
      </c>
      <c r="K685" s="26">
        <v>2.9686598901558399</v>
      </c>
      <c r="L685" s="2444">
        <v>4.7487000718471304</v>
      </c>
      <c r="M685" s="602">
        <v>4.7001164469857999</v>
      </c>
      <c r="N685" s="811">
        <v>4.6123696844561604</v>
      </c>
      <c r="O685" s="1060">
        <v>2.95293913002783</v>
      </c>
      <c r="P685" s="610">
        <v>2.9654139009792</v>
      </c>
      <c r="Q685" s="2173">
        <v>2.8967558467585799</v>
      </c>
      <c r="R685" s="561">
        <v>2.8016254200838202</v>
      </c>
      <c r="S685" s="549">
        <v>3.0169010714726401</v>
      </c>
      <c r="T685" s="1573">
        <v>2.7459950830518101</v>
      </c>
    </row>
    <row r="686" spans="1:20">
      <c r="A686" t="s">
        <v>2110</v>
      </c>
      <c r="B686" s="6" t="str">
        <f>HYPERLINK("http://www.ncbi.nlm.nih.gov/gene/381925", "381925")</f>
        <v>381925</v>
      </c>
      <c r="C686" s="6" t="str">
        <f>HYPERLINK("http://www.ncbi.nlm.nih.gov/gene/196051", "196051")</f>
        <v>196051</v>
      </c>
      <c r="D686" t="str">
        <f>"Ppapdc1a"</f>
        <v>Ppapdc1a</v>
      </c>
      <c r="E686" t="s">
        <v>2111</v>
      </c>
      <c r="F686" t="s">
        <v>2112</v>
      </c>
      <c r="H686" s="519">
        <v>5</v>
      </c>
      <c r="I686" s="96">
        <v>4.2515768522234501</v>
      </c>
      <c r="J686" s="52">
        <v>4.3557230601113899</v>
      </c>
      <c r="K686" s="35">
        <v>4.1528819719952397</v>
      </c>
      <c r="L686" s="2443">
        <v>6.0201458251291404</v>
      </c>
      <c r="M686" s="815">
        <v>6.1408952415167297</v>
      </c>
      <c r="N686" s="679">
        <v>5.9697770641989596</v>
      </c>
      <c r="O686" s="1444">
        <v>3.8561630379375602</v>
      </c>
      <c r="P686" s="629">
        <v>4.3671296353334803</v>
      </c>
      <c r="Q686" s="2327">
        <v>3.9571936300952602</v>
      </c>
      <c r="R686" s="533">
        <v>4.1993052224287499</v>
      </c>
      <c r="S686" s="1081">
        <v>4.0610532047730796</v>
      </c>
      <c r="T686" s="1354">
        <v>4.1478365411683402</v>
      </c>
    </row>
    <row r="687" spans="1:20">
      <c r="A687" t="s">
        <v>2113</v>
      </c>
      <c r="B687" s="6" t="str">
        <f>HYPERLINK("http://www.ncbi.nlm.nih.gov/gene/654824", "654824")</f>
        <v>654824</v>
      </c>
      <c r="C687" s="6" t="str">
        <f>HYPERLINK("http://www.ncbi.nlm.nih.gov/gene/353322", "353322")</f>
        <v>353322</v>
      </c>
      <c r="D687" t="str">
        <f>"Ankrd37"</f>
        <v>Ankrd37</v>
      </c>
      <c r="E687" t="s">
        <v>2114</v>
      </c>
      <c r="F687" t="s">
        <v>2115</v>
      </c>
      <c r="H687" s="519">
        <v>5</v>
      </c>
      <c r="I687" s="41">
        <v>6.0391991119862496</v>
      </c>
      <c r="J687" s="45">
        <v>6.29204388290899</v>
      </c>
      <c r="K687" s="38">
        <v>6.4432637793677499</v>
      </c>
      <c r="L687" s="2431">
        <v>7.9726732005291003</v>
      </c>
      <c r="M687" s="711">
        <v>8.1951435950741391</v>
      </c>
      <c r="N687" s="777">
        <v>8.0349668757562505</v>
      </c>
      <c r="O687" s="1499">
        <v>5.7620070718446099</v>
      </c>
      <c r="P687" s="832">
        <v>6.0929000382640499</v>
      </c>
      <c r="Q687" s="2097">
        <v>5.7505714570741704</v>
      </c>
      <c r="R687" s="688">
        <v>5.8382758490175704</v>
      </c>
      <c r="S687" s="636">
        <v>6.0225362424193003</v>
      </c>
      <c r="T687" s="562">
        <v>5.8676361408623698</v>
      </c>
    </row>
    <row r="688" spans="1:20">
      <c r="A688" t="s">
        <v>2116</v>
      </c>
      <c r="B688" s="6" t="str">
        <f>HYPERLINK("http://www.ncbi.nlm.nih.gov/gene/18159", "18159")</f>
        <v>18159</v>
      </c>
      <c r="C688" s="6" t="str">
        <f>HYPERLINK("http://www.ncbi.nlm.nih.gov/gene/4880", "4880")</f>
        <v>4880</v>
      </c>
      <c r="D688" t="str">
        <f>"Nppc"</f>
        <v>Nppc</v>
      </c>
      <c r="E688" t="s">
        <v>2117</v>
      </c>
      <c r="F688" t="s">
        <v>2125</v>
      </c>
      <c r="H688" s="519">
        <v>5</v>
      </c>
      <c r="I688" s="90">
        <v>4.3628972466041196</v>
      </c>
      <c r="J688" s="69">
        <v>4.4283808696911802</v>
      </c>
      <c r="K688" s="146">
        <v>4.3581503288734504</v>
      </c>
      <c r="L688" s="2447">
        <v>5.5892331792603702</v>
      </c>
      <c r="M688" s="547">
        <v>5.7442852598763103</v>
      </c>
      <c r="N688" s="1022">
        <v>5.6273626099340897</v>
      </c>
      <c r="O688" s="1574">
        <v>4.0223166013048699</v>
      </c>
      <c r="P688" s="688">
        <v>4.0924769875390998</v>
      </c>
      <c r="Q688" s="2448">
        <v>4.0689626954294997</v>
      </c>
      <c r="R688" s="1272">
        <v>4.2674701900977103</v>
      </c>
      <c r="S688" s="538">
        <v>4.1844881589770697</v>
      </c>
      <c r="T688" s="568">
        <v>4.1388529685659599</v>
      </c>
    </row>
    <row r="689" spans="1:20">
      <c r="A689" t="s">
        <v>2126</v>
      </c>
      <c r="B689" s="6" t="str">
        <f>HYPERLINK("http://www.ncbi.nlm.nih.gov/gene/18828", "18828")</f>
        <v>18828</v>
      </c>
      <c r="C689" s="6" t="str">
        <f>HYPERLINK("http://www.ncbi.nlm.nih.gov/gene/", "")</f>
        <v/>
      </c>
      <c r="D689" t="str">
        <f>"Plscr2"</f>
        <v>Plscr2</v>
      </c>
      <c r="E689" t="s">
        <v>2127</v>
      </c>
      <c r="F689" t="s">
        <v>2128</v>
      </c>
      <c r="H689" s="519">
        <v>5</v>
      </c>
      <c r="I689" s="38">
        <v>4.1023295512953597</v>
      </c>
      <c r="J689" s="126">
        <v>3.5913190532742498</v>
      </c>
      <c r="K689" s="104">
        <v>3.61578536891574</v>
      </c>
      <c r="L689" s="2428">
        <v>6.9932808027519204</v>
      </c>
      <c r="M689" s="564">
        <v>7.4792239238245601</v>
      </c>
      <c r="N689" s="617">
        <v>7.3969300323378597</v>
      </c>
      <c r="O689" s="991">
        <v>2.82284403221544</v>
      </c>
      <c r="P689" s="1037">
        <v>2.9124233916284799</v>
      </c>
      <c r="Q689" s="2097">
        <v>2.7684961710156402</v>
      </c>
      <c r="R689" s="659">
        <v>3.30033569366489</v>
      </c>
      <c r="S689" s="708">
        <v>3.2052464759829302</v>
      </c>
      <c r="T689" s="574">
        <v>3.1011708498122901</v>
      </c>
    </row>
    <row r="690" spans="1:20">
      <c r="A690" t="s">
        <v>2129</v>
      </c>
      <c r="B690" s="6" t="str">
        <f>HYPERLINK("http://www.ncbi.nlm.nih.gov/gene/231162", "231162")</f>
        <v>231162</v>
      </c>
      <c r="C690" s="6" t="str">
        <f>HYPERLINK("http://www.ncbi.nlm.nih.gov/gene/54360", "54360")</f>
        <v>54360</v>
      </c>
      <c r="D690" t="str">
        <f>"Cytl1"</f>
        <v>Cytl1</v>
      </c>
      <c r="E690" t="s">
        <v>2130</v>
      </c>
      <c r="F690" t="s">
        <v>2131</v>
      </c>
      <c r="H690" s="519">
        <v>5</v>
      </c>
      <c r="I690" s="134">
        <v>5.5307989318899198</v>
      </c>
      <c r="J690" s="242">
        <v>5.6118584286906499</v>
      </c>
      <c r="K690" s="69">
        <v>5.39303661737683</v>
      </c>
      <c r="L690" s="2408">
        <v>8.2311579249431599</v>
      </c>
      <c r="M690" s="582">
        <v>8.4465197820102293</v>
      </c>
      <c r="N690" s="678">
        <v>8.4809488412984706</v>
      </c>
      <c r="O690" s="1362">
        <v>4.08368468147959</v>
      </c>
      <c r="P690" s="729">
        <v>4.2210713716250803</v>
      </c>
      <c r="Q690" s="2176">
        <v>4.6059773230115999</v>
      </c>
      <c r="R690" s="560">
        <v>5.07752769446342</v>
      </c>
      <c r="S690" s="1223">
        <v>4.6041679621600498</v>
      </c>
      <c r="T690" s="857">
        <v>4.7078003847808603</v>
      </c>
    </row>
    <row r="691" spans="1:20">
      <c r="A691" t="s">
        <v>2132</v>
      </c>
      <c r="B691" s="6" t="str">
        <f>HYPERLINK("http://www.ncbi.nlm.nih.gov/gene/16840", "16840")</f>
        <v>16840</v>
      </c>
      <c r="C691" s="6" t="str">
        <f>HYPERLINK("http://www.ncbi.nlm.nih.gov/gene/11061", "11061")</f>
        <v>11061</v>
      </c>
      <c r="D691" t="str">
        <f>"Lect1"</f>
        <v>Lect1</v>
      </c>
      <c r="E691" t="s">
        <v>2133</v>
      </c>
      <c r="F691" t="s">
        <v>2135</v>
      </c>
      <c r="H691" s="519">
        <v>5</v>
      </c>
      <c r="I691" s="74">
        <v>3.0376546312416099</v>
      </c>
      <c r="J691" s="353">
        <v>3.22425509508551</v>
      </c>
      <c r="K691" s="32">
        <v>3.1400385132321298</v>
      </c>
      <c r="L691" s="2421">
        <v>4.6781610536990703</v>
      </c>
      <c r="M691" s="815">
        <v>4.9534142834202903</v>
      </c>
      <c r="N691" s="868">
        <v>4.8826503352345201</v>
      </c>
      <c r="O691" s="1166">
        <v>2.5498488337662502</v>
      </c>
      <c r="P691" s="891">
        <v>2.8625176467142701</v>
      </c>
      <c r="Q691" s="2077">
        <v>3.1086772794173898</v>
      </c>
      <c r="R691" s="583">
        <v>2.9174089323033701</v>
      </c>
      <c r="S691" s="1002">
        <v>2.8253864343537902</v>
      </c>
      <c r="T691" s="1293">
        <v>2.7288582204774698</v>
      </c>
    </row>
    <row r="692" spans="1:20">
      <c r="A692" t="s">
        <v>2136</v>
      </c>
      <c r="B692" s="6" t="str">
        <f>HYPERLINK("http://www.ncbi.nlm.nih.gov/gene/11829", "11829")</f>
        <v>11829</v>
      </c>
      <c r="C692" s="6" t="str">
        <f>HYPERLINK("http://www.ncbi.nlm.nih.gov/gene/361", "361")</f>
        <v>361</v>
      </c>
      <c r="D692" t="str">
        <f>"Aqp4"</f>
        <v>Aqp4</v>
      </c>
      <c r="E692" t="s">
        <v>2137</v>
      </c>
      <c r="F692" t="s">
        <v>2139</v>
      </c>
      <c r="G692" t="s">
        <v>2140</v>
      </c>
      <c r="H692" s="519">
        <v>5</v>
      </c>
      <c r="I692" s="70">
        <v>3.15330708756334</v>
      </c>
      <c r="J692" s="169">
        <v>3.2367354613854999</v>
      </c>
      <c r="K692" s="163">
        <v>3.4840299508129302</v>
      </c>
      <c r="L692" s="2449">
        <v>4.2436847738461596</v>
      </c>
      <c r="M692" s="674">
        <v>4.66610249348492</v>
      </c>
      <c r="N692" s="678">
        <v>4.5542129968735603</v>
      </c>
      <c r="O692" s="1366">
        <v>2.8387523298733099</v>
      </c>
      <c r="P692" s="1306">
        <v>2.5830292365502001</v>
      </c>
      <c r="Q692" s="2141">
        <v>2.7953993698906201</v>
      </c>
      <c r="R692" s="636">
        <v>2.9694215902502301</v>
      </c>
      <c r="S692" s="636">
        <v>2.96888331027403</v>
      </c>
      <c r="T692" s="709">
        <v>2.7817527163364302</v>
      </c>
    </row>
    <row r="693" spans="1:20">
      <c r="A693" t="s">
        <v>2141</v>
      </c>
      <c r="B693" s="6" t="str">
        <f>HYPERLINK("http://www.ncbi.nlm.nih.gov/gene/228576", "228576")</f>
        <v>228576</v>
      </c>
      <c r="C693" s="6" t="str">
        <f>HYPERLINK("http://www.ncbi.nlm.nih.gov/gene/7851", "7851")</f>
        <v>7851</v>
      </c>
      <c r="D693" t="str">
        <f>"Mall"</f>
        <v>Mall</v>
      </c>
      <c r="E693" t="s">
        <v>2142</v>
      </c>
      <c r="F693" t="s">
        <v>2143</v>
      </c>
      <c r="H693" s="519">
        <v>5</v>
      </c>
      <c r="I693" s="141">
        <v>3.0229206072473902</v>
      </c>
      <c r="J693" s="192">
        <v>3.4169254100736</v>
      </c>
      <c r="K693" s="47">
        <v>3.2181479307242502</v>
      </c>
      <c r="L693" s="2450">
        <v>4.2582057700222897</v>
      </c>
      <c r="M693" s="653">
        <v>4.7958570822794604</v>
      </c>
      <c r="N693" s="621">
        <v>4.9087229173353499</v>
      </c>
      <c r="O693" s="1075">
        <v>3.0625879923964598</v>
      </c>
      <c r="P693" s="1017">
        <v>2.6219013386162802</v>
      </c>
      <c r="Q693" s="2095">
        <v>3.1322482281749</v>
      </c>
      <c r="R693" s="942">
        <v>3.5829600026809998</v>
      </c>
      <c r="S693" s="1109">
        <v>2.8953226959943499</v>
      </c>
      <c r="T693" s="701">
        <v>3.0976419022194301</v>
      </c>
    </row>
    <row r="694" spans="1:20">
      <c r="A694" t="s">
        <v>2144</v>
      </c>
      <c r="B694" s="6" t="str">
        <f>HYPERLINK("http://www.ncbi.nlm.nih.gov/gene/244237", "244237")</f>
        <v>244237</v>
      </c>
      <c r="C694" s="6" t="str">
        <f>HYPERLINK("http://www.ncbi.nlm.nih.gov/gene/", "")</f>
        <v/>
      </c>
      <c r="D694" t="str">
        <f>"Tnfrsf26"</f>
        <v>Tnfrsf26</v>
      </c>
      <c r="E694" t="s">
        <v>2145</v>
      </c>
      <c r="F694" t="s">
        <v>37</v>
      </c>
      <c r="H694" s="519">
        <v>5</v>
      </c>
      <c r="I694" s="182">
        <v>2.7371505030068901</v>
      </c>
      <c r="J694" s="110">
        <v>2.8948359824329901</v>
      </c>
      <c r="K694" s="190">
        <v>3.0336051320503801</v>
      </c>
      <c r="L694" s="2441">
        <v>4.5343951993867302</v>
      </c>
      <c r="M694" s="632">
        <v>5.0231249269107501</v>
      </c>
      <c r="N694" s="815">
        <v>4.9574558182437096</v>
      </c>
      <c r="O694" s="1395">
        <v>2.9232426147953201</v>
      </c>
      <c r="P694" s="993">
        <v>2.5259652371769699</v>
      </c>
      <c r="Q694" s="2281">
        <v>2.6856668133444401</v>
      </c>
      <c r="R694" s="694">
        <v>3.0444969386934999</v>
      </c>
      <c r="S694" s="578">
        <v>2.36301380084686</v>
      </c>
      <c r="T694" s="1431">
        <v>2.7439902509700098</v>
      </c>
    </row>
    <row r="695" spans="1:20">
      <c r="A695" t="s">
        <v>2146</v>
      </c>
      <c r="B695" s="6" t="str">
        <f>HYPERLINK("http://www.ncbi.nlm.nih.gov/gene/66811", "66811")</f>
        <v>66811</v>
      </c>
      <c r="C695" s="6" t="str">
        <f>HYPERLINK("http://www.ncbi.nlm.nih.gov/gene/405753", "405753")</f>
        <v>405753</v>
      </c>
      <c r="D695" t="str">
        <f>"Duoxa2"</f>
        <v>Duoxa2</v>
      </c>
      <c r="E695" t="s">
        <v>2147</v>
      </c>
      <c r="F695" t="s">
        <v>2148</v>
      </c>
      <c r="H695" s="519">
        <v>5</v>
      </c>
      <c r="I695" s="68">
        <v>3.0447845526573198</v>
      </c>
      <c r="J695" s="134">
        <v>3.2460255278038002</v>
      </c>
      <c r="K695" s="57">
        <v>3.0920775107002401</v>
      </c>
      <c r="L695" s="2451">
        <v>4.5702923979809498</v>
      </c>
      <c r="M695" s="1237">
        <v>4.0269170341094096</v>
      </c>
      <c r="N695" s="644">
        <v>4.1857437565608402</v>
      </c>
      <c r="O695" s="1192">
        <v>2.7882379991373698</v>
      </c>
      <c r="P695" s="993">
        <v>2.8454601679013698</v>
      </c>
      <c r="Q695" s="2244">
        <v>2.7662465065583599</v>
      </c>
      <c r="R695" s="579">
        <v>3.02053659724884</v>
      </c>
      <c r="S695" s="610">
        <v>2.99997484700642</v>
      </c>
      <c r="T695" s="1402">
        <v>3.28745014242477</v>
      </c>
    </row>
    <row r="696" spans="1:20">
      <c r="A696" t="s">
        <v>2149</v>
      </c>
      <c r="B696" s="6" t="str">
        <f>HYPERLINK("http://www.ncbi.nlm.nih.gov/gene/12424", "12424")</f>
        <v>12424</v>
      </c>
      <c r="C696" s="6" t="str">
        <f>HYPERLINK("http://www.ncbi.nlm.nih.gov/gene/885", "885")</f>
        <v>885</v>
      </c>
      <c r="D696" t="str">
        <f>"Cck"</f>
        <v>Cck</v>
      </c>
      <c r="E696" t="s">
        <v>2150</v>
      </c>
      <c r="F696" t="s">
        <v>2151</v>
      </c>
      <c r="H696" s="519">
        <v>5</v>
      </c>
      <c r="I696" s="237">
        <v>3.6450629978317499</v>
      </c>
      <c r="J696" s="52">
        <v>4.3639875544749396</v>
      </c>
      <c r="K696" s="120">
        <v>4.1555269082142798</v>
      </c>
      <c r="L696" s="2452">
        <v>6.8890149207062397</v>
      </c>
      <c r="M696" s="565">
        <v>6.6480766479063496</v>
      </c>
      <c r="N696" s="558">
        <v>6.3625187206804297</v>
      </c>
      <c r="O696" s="1086">
        <v>3.6510125959634498</v>
      </c>
      <c r="P696" s="659">
        <v>4.1086291795900003</v>
      </c>
      <c r="Q696" s="2314">
        <v>3.6969790473604598</v>
      </c>
      <c r="R696" s="629">
        <v>4.38200271976587</v>
      </c>
      <c r="S696" s="700">
        <v>4.5256957895385801</v>
      </c>
      <c r="T696" s="907">
        <v>4.31385406644059</v>
      </c>
    </row>
    <row r="697" spans="1:20">
      <c r="A697" t="s">
        <v>2152</v>
      </c>
      <c r="B697" s="6" t="str">
        <f>HYPERLINK("http://www.ncbi.nlm.nih.gov/gene/18095", "18095")</f>
        <v>18095</v>
      </c>
      <c r="C697" s="6" t="str">
        <f>HYPERLINK("http://www.ncbi.nlm.nih.gov/gene/4824", "4824")</f>
        <v>4824</v>
      </c>
      <c r="D697" t="str">
        <f>"Nkx3-1"</f>
        <v>Nkx3-1</v>
      </c>
      <c r="E697" t="s">
        <v>2138</v>
      </c>
      <c r="F697" t="s">
        <v>2153</v>
      </c>
      <c r="G697" t="s">
        <v>2154</v>
      </c>
      <c r="H697" s="519">
        <v>5</v>
      </c>
      <c r="I697" s="305">
        <v>4.8445854803702</v>
      </c>
      <c r="J697" s="190">
        <v>5.1269795978654402</v>
      </c>
      <c r="K697" s="41">
        <v>4.7625511796325997</v>
      </c>
      <c r="L697" s="2453">
        <v>7.9754834005947499</v>
      </c>
      <c r="M697" s="570">
        <v>7.73098137585544</v>
      </c>
      <c r="N697" s="725">
        <v>7.8708136388223497</v>
      </c>
      <c r="O697" s="1005">
        <v>4.26382026212121</v>
      </c>
      <c r="P697" s="864">
        <v>4.3597085385679497</v>
      </c>
      <c r="Q697" s="2454">
        <v>3.86445624114433</v>
      </c>
      <c r="R697" s="910">
        <v>5.1506704636495302</v>
      </c>
      <c r="S697" s="670">
        <v>5.0976458100317403</v>
      </c>
      <c r="T697" s="846">
        <v>5.13385447150847</v>
      </c>
    </row>
    <row r="698" spans="1:20">
      <c r="A698" t="s">
        <v>2155</v>
      </c>
      <c r="B698" s="6" t="str">
        <f>HYPERLINK("http://www.ncbi.nlm.nih.gov/gene/15242", "15242")</f>
        <v>15242</v>
      </c>
      <c r="C698" s="6" t="str">
        <f>HYPERLINK("http://www.ncbi.nlm.nih.gov/gene/3087", "3087")</f>
        <v>3087</v>
      </c>
      <c r="D698" t="str">
        <f>"Hhex"</f>
        <v>Hhex</v>
      </c>
      <c r="E698" t="s">
        <v>2156</v>
      </c>
      <c r="F698" t="s">
        <v>2157</v>
      </c>
      <c r="G698" t="s">
        <v>732</v>
      </c>
      <c r="H698" s="519">
        <v>5</v>
      </c>
      <c r="I698" s="98">
        <v>4.2891421748086396</v>
      </c>
      <c r="J698" s="128">
        <v>4.6828537913100003</v>
      </c>
      <c r="K698" s="57">
        <v>4.6953637951553597</v>
      </c>
      <c r="L698" s="2455">
        <v>8.1616746621236391</v>
      </c>
      <c r="M698" s="653">
        <v>8.6917993106160303</v>
      </c>
      <c r="N698" s="587">
        <v>8.5505037074621093</v>
      </c>
      <c r="O698" s="1064">
        <v>3.62899611861239</v>
      </c>
      <c r="P698" s="1037">
        <v>4.0400729820685903</v>
      </c>
      <c r="Q698" s="2314">
        <v>3.78391505008014</v>
      </c>
      <c r="R698" s="680">
        <v>4.7280543353078901</v>
      </c>
      <c r="S698" s="869">
        <v>4.9811275344576798</v>
      </c>
      <c r="T698" s="1435">
        <v>4.8492316085764404</v>
      </c>
    </row>
    <row r="699" spans="1:20">
      <c r="A699" t="s">
        <v>2169</v>
      </c>
      <c r="B699" s="6" t="str">
        <f>HYPERLINK("http://www.ncbi.nlm.nih.gov/gene/16180", "16180")</f>
        <v>16180</v>
      </c>
      <c r="C699" s="6" t="str">
        <f>HYPERLINK("http://www.ncbi.nlm.nih.gov/gene/3556", "3556")</f>
        <v>3556</v>
      </c>
      <c r="D699" t="str">
        <f>"Il1rap"</f>
        <v>Il1rap</v>
      </c>
      <c r="E699" t="s">
        <v>2170</v>
      </c>
      <c r="F699" t="s">
        <v>2158</v>
      </c>
      <c r="G699" t="s">
        <v>2159</v>
      </c>
      <c r="H699" s="519">
        <v>5</v>
      </c>
      <c r="I699" s="154">
        <v>6.0888739016834004</v>
      </c>
      <c r="J699" s="61">
        <v>6.1883654632401797</v>
      </c>
      <c r="K699" s="51">
        <v>6.0445722947687699</v>
      </c>
      <c r="L699" s="2456">
        <v>7.5822828524335302</v>
      </c>
      <c r="M699" s="565">
        <v>7.6328397681651703</v>
      </c>
      <c r="N699" s="564">
        <v>7.7031031656062803</v>
      </c>
      <c r="O699" s="1072">
        <v>6.0059621337062996</v>
      </c>
      <c r="P699" s="891">
        <v>6.1534770835677497</v>
      </c>
      <c r="Q699" s="2457">
        <v>6.1711608052459699</v>
      </c>
      <c r="R699" s="655">
        <v>6.3234567610744303</v>
      </c>
      <c r="S699" s="700">
        <v>6.4489830241854902</v>
      </c>
      <c r="T699" s="846">
        <v>6.38648016398934</v>
      </c>
    </row>
    <row r="700" spans="1:20">
      <c r="A700" t="s">
        <v>2160</v>
      </c>
      <c r="B700" s="6" t="str">
        <f>HYPERLINK("http://www.ncbi.nlm.nih.gov/gene/218442", "218442")</f>
        <v>218442</v>
      </c>
      <c r="C700" s="6" t="str">
        <f>HYPERLINK("http://www.ncbi.nlm.nih.gov/gene/256987", "256987")</f>
        <v>256987</v>
      </c>
      <c r="D700" t="str">
        <f>"Serinc5"</f>
        <v>Serinc5</v>
      </c>
      <c r="E700" t="s">
        <v>2161</v>
      </c>
      <c r="F700" t="s">
        <v>2162</v>
      </c>
      <c r="H700" s="519">
        <v>5</v>
      </c>
      <c r="I700" s="154">
        <v>5.8499594951587701</v>
      </c>
      <c r="J700" s="43">
        <v>5.8455146360887102</v>
      </c>
      <c r="K700" s="156">
        <v>5.9384848967594497</v>
      </c>
      <c r="L700" s="2458">
        <v>8.1281518679692706</v>
      </c>
      <c r="M700" s="811">
        <v>8.0769696374781894</v>
      </c>
      <c r="N700" s="597">
        <v>8.2538798098973007</v>
      </c>
      <c r="O700" s="1200">
        <v>5.9089273126165098</v>
      </c>
      <c r="P700" s="734">
        <v>5.9065511624374398</v>
      </c>
      <c r="Q700" s="2314">
        <v>5.6973815561042098</v>
      </c>
      <c r="R700" s="654">
        <v>6.2964366618209704</v>
      </c>
      <c r="S700" s="1095">
        <v>6.45283837492868</v>
      </c>
      <c r="T700" s="534">
        <v>6.3170598869452101</v>
      </c>
    </row>
    <row r="701" spans="1:20">
      <c r="A701" t="s">
        <v>2163</v>
      </c>
      <c r="B701" s="6" t="str">
        <f>HYPERLINK("http://www.ncbi.nlm.nih.gov/gene/19116", "19116")</f>
        <v>19116</v>
      </c>
      <c r="C701" s="6" t="str">
        <f>HYPERLINK("http://www.ncbi.nlm.nih.gov/gene/5618", "5618")</f>
        <v>5618</v>
      </c>
      <c r="D701" t="str">
        <f>"Prlr"</f>
        <v>Prlr</v>
      </c>
      <c r="E701" t="s">
        <v>2164</v>
      </c>
      <c r="F701" t="s">
        <v>2165</v>
      </c>
      <c r="G701" t="s">
        <v>2166</v>
      </c>
      <c r="H701" s="519">
        <v>5</v>
      </c>
      <c r="I701" s="156">
        <v>2.5279786150304902</v>
      </c>
      <c r="J701" s="60">
        <v>2.2631270190624999</v>
      </c>
      <c r="K701" s="194">
        <v>2.27984942424888</v>
      </c>
      <c r="L701" s="2459">
        <v>7.2136151846590497</v>
      </c>
      <c r="M701" s="607">
        <v>7.0772299795072202</v>
      </c>
      <c r="N701" s="617">
        <v>7.33381449822779</v>
      </c>
      <c r="O701" s="1190">
        <v>2.5123379790678899</v>
      </c>
      <c r="P701" s="561">
        <v>2.2888207723923899</v>
      </c>
      <c r="Q701" s="2176">
        <v>2.3952897012279002</v>
      </c>
      <c r="R701" s="680">
        <v>3.0594942790703898</v>
      </c>
      <c r="S701" s="1095">
        <v>3.6134492863029299</v>
      </c>
      <c r="T701" s="1384">
        <v>3.4379198630202299</v>
      </c>
    </row>
    <row r="702" spans="1:20">
      <c r="A702" t="s">
        <v>2167</v>
      </c>
      <c r="B702" s="6" t="str">
        <f>HYPERLINK("http://www.ncbi.nlm.nih.gov/gene/11549", "11549")</f>
        <v>11549</v>
      </c>
      <c r="C702" s="6" t="str">
        <f>HYPERLINK("http://www.ncbi.nlm.nih.gov/gene/148", "148")</f>
        <v>148</v>
      </c>
      <c r="D702" t="str">
        <f>"Adra1a"</f>
        <v>Adra1a</v>
      </c>
      <c r="E702" t="s">
        <v>2168</v>
      </c>
      <c r="F702" t="s">
        <v>2171</v>
      </c>
      <c r="G702" t="s">
        <v>2172</v>
      </c>
      <c r="H702" s="519">
        <v>5</v>
      </c>
      <c r="I702" s="61">
        <v>3.5340917020170401</v>
      </c>
      <c r="J702" s="98">
        <v>3.48701481590785</v>
      </c>
      <c r="K702" s="98">
        <v>3.4955639976986701</v>
      </c>
      <c r="L702" s="2459">
        <v>6.0178892964491402</v>
      </c>
      <c r="M702" s="577">
        <v>5.9792608291562699</v>
      </c>
      <c r="N702" s="597">
        <v>6.13023479917707</v>
      </c>
      <c r="O702" s="1012">
        <v>3.4193519042733</v>
      </c>
      <c r="P702" s="1007">
        <v>3.2864008197757402</v>
      </c>
      <c r="Q702" s="2055">
        <v>3.3375026286782701</v>
      </c>
      <c r="R702" s="832">
        <v>3.6585976497763899</v>
      </c>
      <c r="S702" s="1215">
        <v>3.9413777378667998</v>
      </c>
      <c r="T702" s="671">
        <v>3.8215061954038401</v>
      </c>
    </row>
    <row r="703" spans="1:20">
      <c r="A703" t="s">
        <v>2173</v>
      </c>
      <c r="B703" s="6" t="str">
        <f>HYPERLINK("http://www.ncbi.nlm.nih.gov/gene/20354", "20354")</f>
        <v>20354</v>
      </c>
      <c r="C703" s="6" t="str">
        <f>HYPERLINK("http://www.ncbi.nlm.nih.gov/gene/10507", "10507")</f>
        <v>10507</v>
      </c>
      <c r="D703" t="str">
        <f>"Sema4d"</f>
        <v>Sema4d</v>
      </c>
      <c r="E703" t="s">
        <v>2174</v>
      </c>
      <c r="F703" t="s">
        <v>2175</v>
      </c>
      <c r="G703" t="s">
        <v>604</v>
      </c>
      <c r="H703" s="519">
        <v>5</v>
      </c>
      <c r="I703" s="110">
        <v>3.86827872309641</v>
      </c>
      <c r="J703" s="43">
        <v>3.5699889721598499</v>
      </c>
      <c r="K703" s="156">
        <v>3.6598807588372799</v>
      </c>
      <c r="L703" s="2445">
        <v>5.8069423972576697</v>
      </c>
      <c r="M703" s="755">
        <v>5.5886719454444602</v>
      </c>
      <c r="N703" s="591">
        <v>6.1176219160708296</v>
      </c>
      <c r="O703" s="1575">
        <v>3.4248623200119299</v>
      </c>
      <c r="P703" s="688">
        <v>3.5661510675338399</v>
      </c>
      <c r="Q703" s="2142">
        <v>3.36775735034746</v>
      </c>
      <c r="R703" s="550">
        <v>4.0655703891242698</v>
      </c>
      <c r="S703" s="1095">
        <v>4.1738744150610296</v>
      </c>
      <c r="T703" s="1384">
        <v>4.0872431754487799</v>
      </c>
    </row>
    <row r="704" spans="1:20">
      <c r="A704" t="s">
        <v>2176</v>
      </c>
      <c r="B704" s="6" t="str">
        <f>HYPERLINK("http://www.ncbi.nlm.nih.gov/gene/320158", "320158")</f>
        <v>320158</v>
      </c>
      <c r="C704" s="6" t="str">
        <f>HYPERLINK("http://www.ncbi.nlm.nih.gov/gene/79698", "79698")</f>
        <v>79698</v>
      </c>
      <c r="D704" t="str">
        <f>"Zmat4"</f>
        <v>Zmat4</v>
      </c>
      <c r="E704" t="s">
        <v>2177</v>
      </c>
      <c r="F704" t="s">
        <v>2189</v>
      </c>
      <c r="H704" s="519">
        <v>5</v>
      </c>
      <c r="I704" s="96">
        <v>5.3213570044104896</v>
      </c>
      <c r="J704" s="24">
        <v>4.8327442236796703</v>
      </c>
      <c r="K704" s="194">
        <v>4.8496009540506897</v>
      </c>
      <c r="L704" s="1979">
        <v>8.1633420235057805</v>
      </c>
      <c r="M704" s="725">
        <v>8.3072953192990902</v>
      </c>
      <c r="N704" s="597">
        <v>8.4703862131826995</v>
      </c>
      <c r="O704" s="1089">
        <v>4.8901957434817502</v>
      </c>
      <c r="P704" s="1040">
        <v>4.7676361356321397</v>
      </c>
      <c r="Q704" s="2315">
        <v>4.8446827489795004</v>
      </c>
      <c r="R704" s="627">
        <v>5.4187356387464396</v>
      </c>
      <c r="S704" s="705">
        <v>5.6856509095151901</v>
      </c>
      <c r="T704" s="1402">
        <v>5.86283891734886</v>
      </c>
    </row>
    <row r="705" spans="1:20">
      <c r="A705" t="s">
        <v>2190</v>
      </c>
      <c r="B705" s="6" t="str">
        <f>HYPERLINK("http://www.ncbi.nlm.nih.gov/gene/70258", "70258")</f>
        <v>70258</v>
      </c>
      <c r="C705" s="6" t="str">
        <f>HYPERLINK("http://www.ncbi.nlm.nih.gov/gene/", "")</f>
        <v/>
      </c>
      <c r="D705" t="str">
        <f>"1500035N22Rik"</f>
        <v>1500035N22Rik</v>
      </c>
      <c r="E705" t="s">
        <v>2191</v>
      </c>
      <c r="F705" t="s">
        <v>90</v>
      </c>
      <c r="H705" s="519">
        <v>5</v>
      </c>
      <c r="I705" s="28">
        <v>4.8754011084002897</v>
      </c>
      <c r="J705" s="44">
        <v>4.97678960437488</v>
      </c>
      <c r="K705" s="130">
        <v>4.5201122664240998</v>
      </c>
      <c r="L705" s="2401">
        <v>6.4569213937340404</v>
      </c>
      <c r="M705" s="661">
        <v>6.70709093008149</v>
      </c>
      <c r="N705" s="591">
        <v>6.9609493115074503</v>
      </c>
      <c r="O705" s="1444">
        <v>4.5263539371934502</v>
      </c>
      <c r="P705" s="993">
        <v>4.6028520314527501</v>
      </c>
      <c r="Q705" s="2427">
        <v>4.5830351765709398</v>
      </c>
      <c r="R705" s="680">
        <v>4.9784181984424203</v>
      </c>
      <c r="S705" s="690">
        <v>5.2993130492153799</v>
      </c>
      <c r="T705" s="794">
        <v>5.2274763480337398</v>
      </c>
    </row>
    <row r="706" spans="1:20">
      <c r="A706" t="s">
        <v>2192</v>
      </c>
      <c r="B706" s="6" t="str">
        <f>HYPERLINK("http://www.ncbi.nlm.nih.gov/gene/320772", "320772")</f>
        <v>320772</v>
      </c>
      <c r="C706" s="6" t="str">
        <f>HYPERLINK("http://www.ncbi.nlm.nih.gov/gene/161357", "161357")</f>
        <v>161357</v>
      </c>
      <c r="D706" t="str">
        <f>"Mdga2"</f>
        <v>Mdga2</v>
      </c>
      <c r="E706" t="s">
        <v>2193</v>
      </c>
      <c r="F706" t="s">
        <v>2194</v>
      </c>
      <c r="H706" s="519">
        <v>5</v>
      </c>
      <c r="I706" s="89">
        <v>2.7204765742436501</v>
      </c>
      <c r="J706" s="43">
        <v>2.6986531552834401</v>
      </c>
      <c r="K706" s="23">
        <v>2.6255743114793</v>
      </c>
      <c r="L706" s="2399">
        <v>4.5276175559608598</v>
      </c>
      <c r="M706" s="693">
        <v>4.6490396989542297</v>
      </c>
      <c r="N706" s="1105">
        <v>5.0168106770365002</v>
      </c>
      <c r="O706" s="1012">
        <v>2.7529762154342201</v>
      </c>
      <c r="P706" s="729">
        <v>2.5222850663395402</v>
      </c>
      <c r="Q706" s="2071">
        <v>2.8079300844677699</v>
      </c>
      <c r="R706" s="699">
        <v>3.03167694477197</v>
      </c>
      <c r="S706" s="781">
        <v>3.3495030262613499</v>
      </c>
      <c r="T706" s="1576">
        <v>3.3533184001499401</v>
      </c>
    </row>
    <row r="707" spans="1:20">
      <c r="A707" t="s">
        <v>2195</v>
      </c>
      <c r="B707" s="6" t="str">
        <f>HYPERLINK("http://www.ncbi.nlm.nih.gov/gene/59058", "59058")</f>
        <v>59058</v>
      </c>
      <c r="C707" s="6" t="str">
        <f>HYPERLINK("http://www.ncbi.nlm.nih.gov/gene/27319", "27319")</f>
        <v>27319</v>
      </c>
      <c r="D707" t="str">
        <f>"Bhlhe22"</f>
        <v>Bhlhe22</v>
      </c>
      <c r="E707" t="s">
        <v>2196</v>
      </c>
      <c r="F707" t="s">
        <v>2178</v>
      </c>
      <c r="H707" s="519">
        <v>5</v>
      </c>
      <c r="I707" s="25">
        <v>3.6612656962304002</v>
      </c>
      <c r="J707" s="59">
        <v>3.4900641979751099</v>
      </c>
      <c r="K707" s="72">
        <v>3.8285468375977101</v>
      </c>
      <c r="L707" s="2441">
        <v>6.3118362813440401</v>
      </c>
      <c r="M707" s="652">
        <v>6.8524212594450704</v>
      </c>
      <c r="N707" s="841">
        <v>7.0665674493995603</v>
      </c>
      <c r="O707" s="1046">
        <v>3.6245786166308598</v>
      </c>
      <c r="P707" s="992">
        <v>3.2705692011787102</v>
      </c>
      <c r="Q707" s="2318">
        <v>3.1803981130244501</v>
      </c>
      <c r="R707" s="599">
        <v>3.82347539839978</v>
      </c>
      <c r="S707" s="687">
        <v>4.0311043431726601</v>
      </c>
      <c r="T707" s="1404">
        <v>4.4548183851549901</v>
      </c>
    </row>
    <row r="708" spans="1:20">
      <c r="A708" t="s">
        <v>2179</v>
      </c>
      <c r="B708" s="6" t="str">
        <f>HYPERLINK("http://www.ncbi.nlm.nih.gov/gene/67712", "67712")</f>
        <v>67712</v>
      </c>
      <c r="C708" s="6" t="str">
        <f>HYPERLINK("http://www.ncbi.nlm.nih.gov/gene/51312", "51312")</f>
        <v>51312</v>
      </c>
      <c r="D708" t="str">
        <f>"Slc25a37"</f>
        <v>Slc25a37</v>
      </c>
      <c r="E708" t="s">
        <v>2180</v>
      </c>
      <c r="F708" t="s">
        <v>2181</v>
      </c>
      <c r="H708" s="519">
        <v>5</v>
      </c>
      <c r="I708" s="105">
        <v>6.0820661137327896</v>
      </c>
      <c r="J708" s="59">
        <v>5.98418460124973</v>
      </c>
      <c r="K708" s="99">
        <v>6.18640703905431</v>
      </c>
      <c r="L708" s="2460">
        <v>7.1797603777328201</v>
      </c>
      <c r="M708" s="598">
        <v>7.3237572507184003</v>
      </c>
      <c r="N708" s="994">
        <v>7.5412066063108298</v>
      </c>
      <c r="O708" s="1224">
        <v>5.9528460866262796</v>
      </c>
      <c r="P708" s="1174">
        <v>5.7930315398031897</v>
      </c>
      <c r="Q708" s="2218">
        <v>6.10622150435099</v>
      </c>
      <c r="R708" s="560">
        <v>6.1524153760538196</v>
      </c>
      <c r="S708" s="1006">
        <v>6.1463602634461898</v>
      </c>
      <c r="T708" s="664">
        <v>6.2664769848955499</v>
      </c>
    </row>
    <row r="709" spans="1:20">
      <c r="A709" t="s">
        <v>2182</v>
      </c>
      <c r="B709" s="6" t="str">
        <f>HYPERLINK("http://www.ncbi.nlm.nih.gov/gene/108154", "108154")</f>
        <v>108154</v>
      </c>
      <c r="C709" s="6" t="str">
        <f>HYPERLINK("http://www.ncbi.nlm.nih.gov/gene/11174", "11174")</f>
        <v>11174</v>
      </c>
      <c r="D709" t="str">
        <f>"Adamts6"</f>
        <v>Adamts6</v>
      </c>
      <c r="E709" t="s">
        <v>2207</v>
      </c>
      <c r="F709" t="s">
        <v>1037</v>
      </c>
      <c r="H709" s="519">
        <v>5</v>
      </c>
      <c r="I709" s="198">
        <v>6.8974832753225499</v>
      </c>
      <c r="J709" s="273">
        <v>6.7186661378656503</v>
      </c>
      <c r="K709" s="73">
        <v>6.7434061334588398</v>
      </c>
      <c r="L709" s="2403">
        <v>7.7977202265058603</v>
      </c>
      <c r="M709" s="811">
        <v>7.8040402474759203</v>
      </c>
      <c r="N709" s="1030">
        <v>7.9229192377216897</v>
      </c>
      <c r="O709" s="1108">
        <v>6.6234989705735501</v>
      </c>
      <c r="P709" s="1340">
        <v>6.6313694384866597</v>
      </c>
      <c r="Q709" s="2067">
        <v>6.8795539807827204</v>
      </c>
      <c r="R709" s="629">
        <v>6.9188691348559601</v>
      </c>
      <c r="S709" s="533">
        <v>6.8235984787298296</v>
      </c>
      <c r="T709" s="664">
        <v>6.9543588719618397</v>
      </c>
    </row>
    <row r="710" spans="1:20">
      <c r="A710" t="s">
        <v>2208</v>
      </c>
      <c r="B710" s="6" t="str">
        <f>HYPERLINK("http://www.ncbi.nlm.nih.gov/gene/619313", "619313")</f>
        <v>619313</v>
      </c>
      <c r="C710" s="6" t="str">
        <f>HYPERLINK("http://www.ncbi.nlm.nih.gov/gene/", "")</f>
        <v/>
      </c>
      <c r="D710" t="str">
        <f>"I730030J21Rik"</f>
        <v>I730030J21Rik</v>
      </c>
      <c r="E710" t="s">
        <v>2209</v>
      </c>
      <c r="H710" s="519">
        <v>5</v>
      </c>
      <c r="I710" s="233">
        <v>3.7976589004333698</v>
      </c>
      <c r="J710" s="190">
        <v>4.5783851096487096</v>
      </c>
      <c r="K710" s="81">
        <v>4.05036805955086</v>
      </c>
      <c r="L710" s="2461">
        <v>6.4650085051807</v>
      </c>
      <c r="M710" s="1135">
        <v>6.1981683060851003</v>
      </c>
      <c r="N710" s="1003">
        <v>6.9092639301061496</v>
      </c>
      <c r="O710" s="1146">
        <v>3.4867530666709801</v>
      </c>
      <c r="P710" s="567">
        <v>3.8862427052639301</v>
      </c>
      <c r="Q710" s="2071">
        <v>4.2075996597939396</v>
      </c>
      <c r="R710" s="835">
        <v>4.87256037305995</v>
      </c>
      <c r="S710" s="833">
        <v>4.8893149101155702</v>
      </c>
      <c r="T710" s="1544">
        <v>5.0719777405690198</v>
      </c>
    </row>
    <row r="711" spans="1:20">
      <c r="A711" t="s">
        <v>2210</v>
      </c>
      <c r="B711" s="6" t="str">
        <f>HYPERLINK("http://www.ncbi.nlm.nih.gov/gene/30878", "30878")</f>
        <v>30878</v>
      </c>
      <c r="C711" s="6" t="str">
        <f>HYPERLINK("http://www.ncbi.nlm.nih.gov/gene/8862", "8862")</f>
        <v>8862</v>
      </c>
      <c r="D711" t="str">
        <f>"Apln"</f>
        <v>Apln</v>
      </c>
      <c r="E711" t="s">
        <v>2211</v>
      </c>
      <c r="F711" t="s">
        <v>2183</v>
      </c>
      <c r="H711" s="519">
        <v>5</v>
      </c>
      <c r="I711" s="182">
        <v>3.77454491674282</v>
      </c>
      <c r="J711" s="57">
        <v>3.89200527136496</v>
      </c>
      <c r="K711" s="311">
        <v>3.63824611173722</v>
      </c>
      <c r="L711" s="2458">
        <v>5.1114768467528604</v>
      </c>
      <c r="M711" s="587">
        <v>5.1533989062834404</v>
      </c>
      <c r="N711" s="657">
        <v>5.0085929899581796</v>
      </c>
      <c r="O711" s="1577">
        <v>3.4182625665768298</v>
      </c>
      <c r="P711" s="537">
        <v>3.7083332532142199</v>
      </c>
      <c r="Q711" s="2462">
        <v>3.6184588298239699</v>
      </c>
      <c r="R711" s="790">
        <v>4.0110584431883796</v>
      </c>
      <c r="S711" s="910">
        <v>3.97573691594275</v>
      </c>
      <c r="T711" s="1569">
        <v>4.2463897302645801</v>
      </c>
    </row>
    <row r="712" spans="1:20">
      <c r="A712" t="s">
        <v>2184</v>
      </c>
      <c r="B712" s="6" t="str">
        <f>HYPERLINK("http://www.ncbi.nlm.nih.gov/gene/68339", "68339")</f>
        <v>68339</v>
      </c>
      <c r="C712" s="6" t="str">
        <f>HYPERLINK("http://www.ncbi.nlm.nih.gov/gene/440193", "440193")</f>
        <v>440193</v>
      </c>
      <c r="D712" t="str">
        <f>"Ccdc88c"</f>
        <v>Ccdc88c</v>
      </c>
      <c r="E712" t="s">
        <v>2185</v>
      </c>
      <c r="F712" t="s">
        <v>2186</v>
      </c>
      <c r="H712" s="519">
        <v>5</v>
      </c>
      <c r="I712" s="26">
        <v>4.3670582655120898</v>
      </c>
      <c r="J712" s="26">
        <v>4.3655924296554502</v>
      </c>
      <c r="K712" s="88">
        <v>4.1979662337715897</v>
      </c>
      <c r="L712" s="2463">
        <v>6.0275182405668701</v>
      </c>
      <c r="M712" s="762">
        <v>5.8711520581140801</v>
      </c>
      <c r="N712" s="711">
        <v>6.1627643930638296</v>
      </c>
      <c r="O712" s="1108">
        <v>4.0719706974962797</v>
      </c>
      <c r="P712" s="729">
        <v>4.05923060089287</v>
      </c>
      <c r="Q712" s="2071">
        <v>4.3122147114665399</v>
      </c>
      <c r="R712" s="528">
        <v>4.7264050600003902</v>
      </c>
      <c r="S712" s="538">
        <v>4.3223328329445199</v>
      </c>
      <c r="T712" s="1537">
        <v>4.8897102483944401</v>
      </c>
    </row>
    <row r="713" spans="1:20">
      <c r="A713" t="s">
        <v>2187</v>
      </c>
      <c r="B713" s="6" t="str">
        <f>HYPERLINK("http://www.ncbi.nlm.nih.gov/gene/15000", "15000")</f>
        <v>15000</v>
      </c>
      <c r="C713" s="6" t="str">
        <f>HYPERLINK("http://www.ncbi.nlm.nih.gov/gene/3109", "3109")</f>
        <v>3109</v>
      </c>
      <c r="D713" t="str">
        <f>"H2-DMb2"</f>
        <v>H2-DMb2</v>
      </c>
      <c r="E713" t="s">
        <v>2188</v>
      </c>
      <c r="F713" t="s">
        <v>2197</v>
      </c>
      <c r="G713" t="s">
        <v>2198</v>
      </c>
      <c r="H713" s="519">
        <v>5</v>
      </c>
      <c r="I713" s="59">
        <v>1.77911664332089</v>
      </c>
      <c r="J713" s="91">
        <v>1.8394002650339401</v>
      </c>
      <c r="K713" s="104">
        <v>2.1189026412063399</v>
      </c>
      <c r="L713" s="2405">
        <v>3.8947145156195599</v>
      </c>
      <c r="M713" s="811">
        <v>4.0912269123119502</v>
      </c>
      <c r="N713" s="603">
        <v>4.1893636249523096</v>
      </c>
      <c r="O713" s="1440">
        <v>1.3400211789130401</v>
      </c>
      <c r="P713" s="1550">
        <v>1.3509804843495401</v>
      </c>
      <c r="Q713" s="2093">
        <v>1.7429992553381599</v>
      </c>
      <c r="R713" s="778">
        <v>2.60984778455179</v>
      </c>
      <c r="S713" s="1065">
        <v>2.2124687510380099</v>
      </c>
      <c r="T713" s="1578">
        <v>2.7425544345992798</v>
      </c>
    </row>
    <row r="714" spans="1:20">
      <c r="A714" t="s">
        <v>2199</v>
      </c>
      <c r="B714" s="6" t="str">
        <f>HYPERLINK("http://www.ncbi.nlm.nih.gov/gene/243312", "243312")</f>
        <v>243312</v>
      </c>
      <c r="C714" s="6" t="str">
        <f>HYPERLINK("http://www.ncbi.nlm.nih.gov/gene/392617", "392617")</f>
        <v>392617</v>
      </c>
      <c r="D714" t="str">
        <f>"Elfn1"</f>
        <v>Elfn1</v>
      </c>
      <c r="E714" t="s">
        <v>2200</v>
      </c>
      <c r="F714" t="s">
        <v>2201</v>
      </c>
      <c r="H714" s="519">
        <v>5</v>
      </c>
      <c r="I714" s="24">
        <v>4.1428671966481998</v>
      </c>
      <c r="J714" s="57">
        <v>4.3603279562194199</v>
      </c>
      <c r="K714" s="26">
        <v>4.2774100993093498</v>
      </c>
      <c r="L714" s="2464">
        <v>5.3889915358299403</v>
      </c>
      <c r="M714" s="565">
        <v>5.5317123026313704</v>
      </c>
      <c r="N714" s="686">
        <v>5.4731397898326604</v>
      </c>
      <c r="O714" s="1579">
        <v>3.8834998117490001</v>
      </c>
      <c r="P714" s="555">
        <v>4.0648932612288604</v>
      </c>
      <c r="Q714" s="2427">
        <v>4.10860794593229</v>
      </c>
      <c r="R714" s="813">
        <v>4.7369451811424703</v>
      </c>
      <c r="S714" s="1291">
        <v>4.3996197602764999</v>
      </c>
      <c r="T714" s="1482">
        <v>4.6864314759188597</v>
      </c>
    </row>
    <row r="715" spans="1:20">
      <c r="A715" t="s">
        <v>2202</v>
      </c>
      <c r="B715" s="6" t="str">
        <f>HYPERLINK("http://www.ncbi.nlm.nih.gov/gene/59093", "59093")</f>
        <v>59093</v>
      </c>
      <c r="C715" s="6" t="str">
        <f>HYPERLINK("http://www.ncbi.nlm.nih.gov/gene/54039", "54039")</f>
        <v>54039</v>
      </c>
      <c r="D715" t="str">
        <f>"Pcbp3"</f>
        <v>Pcbp3</v>
      </c>
      <c r="E715" t="s">
        <v>2203</v>
      </c>
      <c r="F715" t="s">
        <v>2204</v>
      </c>
      <c r="H715" s="519">
        <v>5</v>
      </c>
      <c r="I715" s="64">
        <v>5.8605459819954699</v>
      </c>
      <c r="J715" s="123">
        <v>5.8799391865716402</v>
      </c>
      <c r="K715" s="89">
        <v>5.9368537411597098</v>
      </c>
      <c r="L715" s="2465">
        <v>7.3773866360446103</v>
      </c>
      <c r="M715" s="777">
        <v>7.29607148421423</v>
      </c>
      <c r="N715" s="693">
        <v>7.2336490043023902</v>
      </c>
      <c r="O715" s="1020">
        <v>5.8822332698472399</v>
      </c>
      <c r="P715" s="655">
        <v>6.1389753722971498</v>
      </c>
      <c r="Q715" s="2056">
        <v>5.8690039529970299</v>
      </c>
      <c r="R715" s="650">
        <v>6.3069939425872796</v>
      </c>
      <c r="S715" s="560">
        <v>6.1097570864169404</v>
      </c>
      <c r="T715" s="1402">
        <v>6.3157225141002096</v>
      </c>
    </row>
    <row r="716" spans="1:20">
      <c r="A716" t="s">
        <v>2205</v>
      </c>
      <c r="B716" s="6" t="str">
        <f>HYPERLINK("http://www.ncbi.nlm.nih.gov/gene/67701", "67701")</f>
        <v>67701</v>
      </c>
      <c r="C716" s="6" t="str">
        <f>HYPERLINK("http://www.ncbi.nlm.nih.gov/gene/10406", "10406")</f>
        <v>10406</v>
      </c>
      <c r="D716" t="str">
        <f>"Wfdc2"</f>
        <v>Wfdc2</v>
      </c>
      <c r="E716" t="s">
        <v>2206</v>
      </c>
      <c r="F716" t="s">
        <v>2228</v>
      </c>
      <c r="H716" s="519">
        <v>5</v>
      </c>
      <c r="I716" s="165">
        <v>3.4971146639427801</v>
      </c>
      <c r="J716" s="299">
        <v>3.3535974171014602</v>
      </c>
      <c r="K716" s="129">
        <v>3.6882952151861099</v>
      </c>
      <c r="L716" s="2466">
        <v>5.8997903582976798</v>
      </c>
      <c r="M716" s="598">
        <v>5.6988758508017403</v>
      </c>
      <c r="N716" s="558">
        <v>5.5099771999115204</v>
      </c>
      <c r="O716" s="1568">
        <v>3.54433174133997</v>
      </c>
      <c r="P716" s="561">
        <v>3.5772297315793899</v>
      </c>
      <c r="Q716" s="2404">
        <v>3.8459093871871501</v>
      </c>
      <c r="R716" s="790">
        <v>4.0778115061814999</v>
      </c>
      <c r="S716" s="1065">
        <v>4.0101981480897404</v>
      </c>
      <c r="T716" s="802">
        <v>4.3778725820105597</v>
      </c>
    </row>
    <row r="717" spans="1:20">
      <c r="A717" t="s">
        <v>2229</v>
      </c>
      <c r="B717" s="6" t="str">
        <f>HYPERLINK("http://www.ncbi.nlm.nih.gov/gene/15558", "15558")</f>
        <v>15558</v>
      </c>
      <c r="C717" s="6" t="str">
        <f>HYPERLINK("http://www.ncbi.nlm.nih.gov/gene/3356", "3356")</f>
        <v>3356</v>
      </c>
      <c r="D717" t="str">
        <f>"Htr2a"</f>
        <v>Htr2a</v>
      </c>
      <c r="E717" t="s">
        <v>2230</v>
      </c>
      <c r="F717" t="s">
        <v>2212</v>
      </c>
      <c r="G717" t="s">
        <v>2238</v>
      </c>
      <c r="H717" s="519">
        <v>5</v>
      </c>
      <c r="I717" s="35">
        <v>2.7449149539467599</v>
      </c>
      <c r="J717" s="81">
        <v>2.5901454980163598</v>
      </c>
      <c r="K717" s="43">
        <v>2.59509042475749</v>
      </c>
      <c r="L717" s="2424">
        <v>4.4863811887843399</v>
      </c>
      <c r="M717" s="1030">
        <v>4.5789135924966304</v>
      </c>
      <c r="N717" s="657">
        <v>4.29472333014066</v>
      </c>
      <c r="O717" s="1168">
        <v>2.6408833019480999</v>
      </c>
      <c r="P717" s="1002">
        <v>2.6469946896940599</v>
      </c>
      <c r="Q717" s="2099">
        <v>2.9500020936485001</v>
      </c>
      <c r="R717" s="687">
        <v>2.92762655937997</v>
      </c>
      <c r="S717" s="573">
        <v>2.6190196699386901</v>
      </c>
      <c r="T717" s="596">
        <v>2.9528611335100199</v>
      </c>
    </row>
    <row r="718" spans="1:20">
      <c r="A718" t="s">
        <v>2239</v>
      </c>
      <c r="B718" s="6" t="str">
        <f>HYPERLINK("http://www.ncbi.nlm.nih.gov/gene/70337", "70337")</f>
        <v>70337</v>
      </c>
      <c r="C718" s="6" t="str">
        <f>HYPERLINK("http://www.ncbi.nlm.nih.gov/gene/389434", "389434")</f>
        <v>389434</v>
      </c>
      <c r="D718" t="str">
        <f>"Iyd"</f>
        <v>Iyd</v>
      </c>
      <c r="E718" t="s">
        <v>2240</v>
      </c>
      <c r="F718" t="s">
        <v>2241</v>
      </c>
      <c r="H718" s="519">
        <v>5</v>
      </c>
      <c r="I718" s="182">
        <v>3.4636084931855602</v>
      </c>
      <c r="J718" s="89">
        <v>3.3961405369648099</v>
      </c>
      <c r="K718" s="73">
        <v>3.4191877667469002</v>
      </c>
      <c r="L718" s="2467">
        <v>4.7396241773574097</v>
      </c>
      <c r="M718" s="598">
        <v>4.6623403752219303</v>
      </c>
      <c r="N718" s="693">
        <v>4.6105570037806096</v>
      </c>
      <c r="O718" s="1554">
        <v>3.1309555968769098</v>
      </c>
      <c r="P718" s="892">
        <v>3.5712273426914001</v>
      </c>
      <c r="Q718" s="2101">
        <v>3.5873564623269401</v>
      </c>
      <c r="R718" s="781">
        <v>3.7910421995735701</v>
      </c>
      <c r="S718" s="1037">
        <v>3.3760098414312201</v>
      </c>
      <c r="T718" s="744">
        <v>3.6726652645694502</v>
      </c>
    </row>
    <row r="719" spans="1:20">
      <c r="A719" t="s">
        <v>2242</v>
      </c>
      <c r="B719" s="6" t="str">
        <f>HYPERLINK("http://www.ncbi.nlm.nih.gov/gene/268527", "268527")</f>
        <v>268527</v>
      </c>
      <c r="C719" s="6" t="str">
        <f>HYPERLINK("http://www.ncbi.nlm.nih.gov/gene/9687", "9687")</f>
        <v>9687</v>
      </c>
      <c r="D719" t="str">
        <f>"Greb1"</f>
        <v>Greb1</v>
      </c>
      <c r="E719" t="s">
        <v>2213</v>
      </c>
      <c r="F719" t="s">
        <v>2118</v>
      </c>
      <c r="H719" s="519">
        <v>5</v>
      </c>
      <c r="I719" s="165">
        <v>3.6967029464653001</v>
      </c>
      <c r="J719" s="123">
        <v>3.7342825445845902</v>
      </c>
      <c r="K719" s="28">
        <v>3.9969072978285198</v>
      </c>
      <c r="L719" s="2445">
        <v>5.8276984628041797</v>
      </c>
      <c r="M719" s="1164">
        <v>5.6883599091904102</v>
      </c>
      <c r="N719" s="1105">
        <v>6.1336720419362303</v>
      </c>
      <c r="O719" s="1012">
        <v>3.8430595493312598</v>
      </c>
      <c r="P719" s="622">
        <v>3.8923188516669098</v>
      </c>
      <c r="Q719" s="2249">
        <v>3.8929782412560101</v>
      </c>
      <c r="R719" s="672">
        <v>4.3647464513965</v>
      </c>
      <c r="S719" s="683">
        <v>4.1396459278992603</v>
      </c>
      <c r="T719" s="1359">
        <v>4.0307738423041597</v>
      </c>
    </row>
    <row r="720" spans="1:20">
      <c r="A720" t="s">
        <v>2214</v>
      </c>
      <c r="B720" s="6" t="str">
        <f>HYPERLINK("http://www.ncbi.nlm.nih.gov/gene/73910", "73910")</f>
        <v>73910</v>
      </c>
      <c r="C720" s="6" t="str">
        <f>HYPERLINK("http://www.ncbi.nlm.nih.gov/gene/93663", "93663")</f>
        <v>93663</v>
      </c>
      <c r="D720" t="str">
        <f>"Arhgap18"</f>
        <v>Arhgap18</v>
      </c>
      <c r="E720" t="s">
        <v>2215</v>
      </c>
      <c r="F720" t="s">
        <v>2216</v>
      </c>
      <c r="H720" s="519">
        <v>5</v>
      </c>
      <c r="I720" s="23">
        <v>5.46873351848794</v>
      </c>
      <c r="J720" s="142">
        <v>5.3341020572373203</v>
      </c>
      <c r="K720" s="64">
        <v>5.4537327305264203</v>
      </c>
      <c r="L720" s="2430">
        <v>7.8525426700729204</v>
      </c>
      <c r="M720" s="693">
        <v>7.8206796788515298</v>
      </c>
      <c r="N720" s="719">
        <v>8.1971121457693492</v>
      </c>
      <c r="O720" s="1453">
        <v>5.6416610050088902</v>
      </c>
      <c r="P720" s="699">
        <v>5.9442799540819404</v>
      </c>
      <c r="Q720" s="2219">
        <v>5.9554257230334997</v>
      </c>
      <c r="R720" s="600">
        <v>5.8865633431501996</v>
      </c>
      <c r="S720" s="550">
        <v>6.0649913675566696</v>
      </c>
      <c r="T720" s="907">
        <v>5.9474343205366802</v>
      </c>
    </row>
    <row r="721" spans="1:20">
      <c r="A721" t="s">
        <v>2217</v>
      </c>
      <c r="B721" s="6" t="str">
        <f>HYPERLINK("http://www.ncbi.nlm.nih.gov/gene/54357", "54357")</f>
        <v>54357</v>
      </c>
      <c r="C721" s="6" t="str">
        <f>HYPERLINK("http://www.ncbi.nlm.nih.gov/gene/54566", "54566")</f>
        <v>54566</v>
      </c>
      <c r="D721" t="str">
        <f>"Epb4.1l4b"</f>
        <v>Epb4.1l4b</v>
      </c>
      <c r="E721" t="s">
        <v>2218</v>
      </c>
      <c r="F721" t="s">
        <v>2219</v>
      </c>
      <c r="H721" s="519">
        <v>5</v>
      </c>
      <c r="I721" s="37">
        <v>5.8766801584380799</v>
      </c>
      <c r="J721" s="75">
        <v>5.7578142501610001</v>
      </c>
      <c r="K721" s="59">
        <v>5.8622855740633604</v>
      </c>
      <c r="L721" s="2468">
        <v>7.4016377560572701</v>
      </c>
      <c r="M721" s="648">
        <v>7.2769616708337104</v>
      </c>
      <c r="N721" s="632">
        <v>7.5189310346417599</v>
      </c>
      <c r="O721" s="1069">
        <v>5.8892866534060104</v>
      </c>
      <c r="P721" s="583">
        <v>5.9501015190817501</v>
      </c>
      <c r="Q721" s="2280">
        <v>6.0572332036413901</v>
      </c>
      <c r="R721" s="583">
        <v>5.9501015190817501</v>
      </c>
      <c r="S721" s="779">
        <v>6.2436259927076696</v>
      </c>
      <c r="T721" s="673">
        <v>6.0226213662851498</v>
      </c>
    </row>
    <row r="722" spans="1:20">
      <c r="A722" t="s">
        <v>2220</v>
      </c>
      <c r="B722" s="6" t="str">
        <f>HYPERLINK("http://www.ncbi.nlm.nih.gov/gene/13992", "13992")</f>
        <v>13992</v>
      </c>
      <c r="C722" s="6" t="str">
        <f>HYPERLINK("http://www.ncbi.nlm.nih.gov/gene/10656", "10656")</f>
        <v>10656</v>
      </c>
      <c r="D722" t="str">
        <f>"Khdrbs3"</f>
        <v>Khdrbs3</v>
      </c>
      <c r="E722" t="s">
        <v>2221</v>
      </c>
      <c r="F722" t="s">
        <v>2222</v>
      </c>
      <c r="H722" s="519">
        <v>5</v>
      </c>
      <c r="I722" s="154">
        <v>6.9188613346647996</v>
      </c>
      <c r="J722" s="135">
        <v>6.7528287943457403</v>
      </c>
      <c r="K722" s="239">
        <v>6.8166495646672303</v>
      </c>
      <c r="L722" s="2459">
        <v>8.4232930576744103</v>
      </c>
      <c r="M722" s="648">
        <v>8.3106554466340494</v>
      </c>
      <c r="N722" s="603">
        <v>8.4366819052217306</v>
      </c>
      <c r="O722" s="991">
        <v>6.8724566073616202</v>
      </c>
      <c r="P722" s="662">
        <v>6.9880266516257601</v>
      </c>
      <c r="Q722" s="2138">
        <v>6.9591362721293599</v>
      </c>
      <c r="R722" s="700">
        <v>7.2684427025245002</v>
      </c>
      <c r="S722" s="1251">
        <v>7.4421794023231298</v>
      </c>
      <c r="T722" s="1391">
        <v>7.3433632482209603</v>
      </c>
    </row>
    <row r="723" spans="1:20">
      <c r="A723" t="s">
        <v>2223</v>
      </c>
      <c r="B723" s="6" t="str">
        <f>HYPERLINK("http://www.ncbi.nlm.nih.gov/gene/330119", "330119")</f>
        <v>330119</v>
      </c>
      <c r="C723" s="6" t="str">
        <f>HYPERLINK("http://www.ncbi.nlm.nih.gov/gene/9508", "9508")</f>
        <v>9508</v>
      </c>
      <c r="D723" t="str">
        <f>"Adamts3"</f>
        <v>Adamts3</v>
      </c>
      <c r="E723" t="s">
        <v>2224</v>
      </c>
      <c r="F723" t="s">
        <v>2225</v>
      </c>
      <c r="H723" s="519">
        <v>5</v>
      </c>
      <c r="I723" s="105">
        <v>5.1564566568193904</v>
      </c>
      <c r="J723" s="95">
        <v>4.8625275505110999</v>
      </c>
      <c r="K723" s="239">
        <v>4.8722025747214097</v>
      </c>
      <c r="L723" s="2423">
        <v>6.8906772267535104</v>
      </c>
      <c r="M723" s="707">
        <v>6.8255733970779602</v>
      </c>
      <c r="N723" s="617">
        <v>6.9846814135053803</v>
      </c>
      <c r="O723" s="1187">
        <v>4.8291385140847698</v>
      </c>
      <c r="P723" s="864">
        <v>4.9345335490334898</v>
      </c>
      <c r="Q723" s="2058">
        <v>5.2033861842580098</v>
      </c>
      <c r="R723" s="1254">
        <v>5.5682092499110398</v>
      </c>
      <c r="S723" s="1207">
        <v>5.5598990332277003</v>
      </c>
      <c r="T723" s="534">
        <v>5.3876560308344601</v>
      </c>
    </row>
    <row r="724" spans="1:20">
      <c r="A724" t="s">
        <v>2226</v>
      </c>
      <c r="B724" s="6" t="str">
        <f>HYPERLINK("http://www.ncbi.nlm.nih.gov/gene/57278", "57278")</f>
        <v>57278</v>
      </c>
      <c r="C724" s="6" t="str">
        <f>HYPERLINK("http://www.ncbi.nlm.nih.gov/gene/4059", "4059")</f>
        <v>4059</v>
      </c>
      <c r="D724" t="str">
        <f>"Bcam"</f>
        <v>Bcam</v>
      </c>
      <c r="E724" t="s">
        <v>2227</v>
      </c>
      <c r="F724" t="s">
        <v>2248</v>
      </c>
      <c r="H724" s="519">
        <v>5</v>
      </c>
      <c r="I724" s="160">
        <v>5.4163786820920601</v>
      </c>
      <c r="J724" s="237">
        <v>5.2119764459988804</v>
      </c>
      <c r="K724" s="136">
        <v>5.2471834328072404</v>
      </c>
      <c r="L724" s="2469">
        <v>7.0064867642217799</v>
      </c>
      <c r="M724" s="603">
        <v>6.9403709877458599</v>
      </c>
      <c r="N724" s="648">
        <v>6.8117892075788999</v>
      </c>
      <c r="O724" s="1080">
        <v>5.3696911027360503</v>
      </c>
      <c r="P724" s="592">
        <v>5.4924579818547903</v>
      </c>
      <c r="Q724" s="2245">
        <v>5.4131756755875404</v>
      </c>
      <c r="R724" s="700">
        <v>5.7180693839326899</v>
      </c>
      <c r="S724" s="1296">
        <v>5.7919732250294196</v>
      </c>
      <c r="T724" s="580">
        <v>5.5519454212225696</v>
      </c>
    </row>
    <row r="725" spans="1:20">
      <c r="A725" t="s">
        <v>2249</v>
      </c>
      <c r="B725" s="6" t="str">
        <f>HYPERLINK("http://www.ncbi.nlm.nih.gov/gene/56543", "56543")</f>
        <v>56543</v>
      </c>
      <c r="C725" s="6" t="str">
        <f>HYPERLINK("http://www.ncbi.nlm.nih.gov/gene/3752", "3752")</f>
        <v>3752</v>
      </c>
      <c r="D725" t="str">
        <f>"Kcnd3"</f>
        <v>Kcnd3</v>
      </c>
      <c r="E725" t="s">
        <v>2250</v>
      </c>
      <c r="F725" t="s">
        <v>2231</v>
      </c>
      <c r="H725" s="519">
        <v>5</v>
      </c>
      <c r="I725" s="266">
        <v>4.7329786572179602</v>
      </c>
      <c r="J725" s="91">
        <v>4.3433802845712304</v>
      </c>
      <c r="K725" s="73">
        <v>4.3285638529673802</v>
      </c>
      <c r="L725" s="2412">
        <v>5.8841297458875497</v>
      </c>
      <c r="M725" s="823">
        <v>5.7580537371694298</v>
      </c>
      <c r="N725" s="526">
        <v>6.3357197361111499</v>
      </c>
      <c r="O725" s="1453">
        <v>4.3378764277689204</v>
      </c>
      <c r="P725" s="793">
        <v>4.6960482257679104</v>
      </c>
      <c r="Q725" s="2470">
        <v>4.1481729899520996</v>
      </c>
      <c r="R725" s="663">
        <v>4.3380522687095402</v>
      </c>
      <c r="S725" s="687">
        <v>4.5821193239381</v>
      </c>
      <c r="T725" s="556">
        <v>4.2695400752698198</v>
      </c>
    </row>
    <row r="726" spans="1:20">
      <c r="A726" t="s">
        <v>2232</v>
      </c>
      <c r="B726" s="6" t="str">
        <f>HYPERLINK("http://www.ncbi.nlm.nih.gov/gene/11847", "11847")</f>
        <v>11847</v>
      </c>
      <c r="C726" s="6" t="str">
        <f>HYPERLINK("http://www.ncbi.nlm.nih.gov/gene/384", "384")</f>
        <v>384</v>
      </c>
      <c r="D726" t="str">
        <f>"Arg2"</f>
        <v>Arg2</v>
      </c>
      <c r="E726" t="s">
        <v>2233</v>
      </c>
      <c r="F726" t="s">
        <v>2234</v>
      </c>
      <c r="G726" t="s">
        <v>2235</v>
      </c>
      <c r="H726" s="519">
        <v>5</v>
      </c>
      <c r="I726" s="38">
        <v>3.8595590620926901</v>
      </c>
      <c r="J726" s="36">
        <v>3.5451499346425801</v>
      </c>
      <c r="K726" s="89">
        <v>3.32040495748095</v>
      </c>
      <c r="L726" s="2455">
        <v>5.2750727908869397</v>
      </c>
      <c r="M726" s="565">
        <v>5.4131032344251402</v>
      </c>
      <c r="N726" s="632">
        <v>5.5975235667845702</v>
      </c>
      <c r="O726" s="1568">
        <v>3.2472414061183201</v>
      </c>
      <c r="P726" s="594">
        <v>3.5121051912086299</v>
      </c>
      <c r="Q726" s="2104">
        <v>3.4634338023669198</v>
      </c>
      <c r="R726" s="1181">
        <v>3.2449668229431801</v>
      </c>
      <c r="S726" s="1081">
        <v>3.35789716659264</v>
      </c>
      <c r="T726" s="605">
        <v>3.56257208116878</v>
      </c>
    </row>
    <row r="727" spans="1:20">
      <c r="A727" t="s">
        <v>2236</v>
      </c>
      <c r="B727" s="6" t="str">
        <f>HYPERLINK("http://www.ncbi.nlm.nih.gov/gene/330177", "330177")</f>
        <v>330177</v>
      </c>
      <c r="C727" s="6" t="str">
        <f>HYPERLINK("http://www.ncbi.nlm.nih.gov/gene/51347", "51347")</f>
        <v>51347</v>
      </c>
      <c r="D727" t="str">
        <f>"Taok3"</f>
        <v>Taok3</v>
      </c>
      <c r="E727" t="s">
        <v>2237</v>
      </c>
      <c r="F727" t="s">
        <v>2243</v>
      </c>
      <c r="G727" t="s">
        <v>2003</v>
      </c>
      <c r="H727" s="519">
        <v>5</v>
      </c>
      <c r="I727" s="173">
        <v>5.3562261612182702</v>
      </c>
      <c r="J727" s="73">
        <v>4.8689904934387203</v>
      </c>
      <c r="K727" s="46">
        <v>4.8431544118663403</v>
      </c>
      <c r="L727" s="2471">
        <v>6.6511954761865404</v>
      </c>
      <c r="M727" s="564">
        <v>6.8657325813942798</v>
      </c>
      <c r="N727" s="608">
        <v>6.8526092190049601</v>
      </c>
      <c r="O727" s="1043">
        <v>4.9265429161196304</v>
      </c>
      <c r="P727" s="572">
        <v>4.8862557186140503</v>
      </c>
      <c r="Q727" s="2058">
        <v>5.0245948308540003</v>
      </c>
      <c r="R727" s="1037">
        <v>4.8023540844266597</v>
      </c>
      <c r="S727" s="592">
        <v>4.9969403572889597</v>
      </c>
      <c r="T727" s="1423">
        <v>4.9268565513275</v>
      </c>
    </row>
    <row r="728" spans="1:20">
      <c r="A728" t="s">
        <v>2244</v>
      </c>
      <c r="B728" s="6" t="str">
        <f>HYPERLINK("http://www.ncbi.nlm.nih.gov/gene/75444", "75444")</f>
        <v>75444</v>
      </c>
      <c r="C728" s="6" t="str">
        <f>HYPERLINK("http://www.ncbi.nlm.nih.gov/gene/", "")</f>
        <v/>
      </c>
      <c r="D728" t="str">
        <f>"1700011I03Rik"</f>
        <v>1700011I03Rik</v>
      </c>
      <c r="E728" t="s">
        <v>2245</v>
      </c>
      <c r="F728" t="s">
        <v>90</v>
      </c>
      <c r="H728" s="519">
        <v>5</v>
      </c>
      <c r="I728" s="160">
        <v>1.9278466942823</v>
      </c>
      <c r="J728" s="148">
        <v>2.2281259451407101</v>
      </c>
      <c r="K728" s="41">
        <v>2.0153373159343202</v>
      </c>
      <c r="L728" s="2423">
        <v>3.9235318274664599</v>
      </c>
      <c r="M728" s="753">
        <v>3.6627819252759499</v>
      </c>
      <c r="N728" s="526">
        <v>4.3380954288245102</v>
      </c>
      <c r="O728" s="1568">
        <v>1.7783352636457701</v>
      </c>
      <c r="P728" s="533">
        <v>2.0359038179460298</v>
      </c>
      <c r="Q728" s="2249">
        <v>1.9278466942823</v>
      </c>
      <c r="R728" s="543">
        <v>2.1331174836544902</v>
      </c>
      <c r="S728" s="572">
        <v>1.9063886811539901</v>
      </c>
      <c r="T728" s="1355">
        <v>1.9722051198264301</v>
      </c>
    </row>
    <row r="729" spans="1:20">
      <c r="A729" t="s">
        <v>2246</v>
      </c>
      <c r="B729" s="6" t="str">
        <f>HYPERLINK("http://www.ncbi.nlm.nih.gov/gene/12491", "12491")</f>
        <v>12491</v>
      </c>
      <c r="C729" s="6" t="str">
        <f>HYPERLINK("http://www.ncbi.nlm.nih.gov/gene/948", "948")</f>
        <v>948</v>
      </c>
      <c r="D729" t="str">
        <f>"Cd36"</f>
        <v>Cd36</v>
      </c>
      <c r="E729" t="s">
        <v>2247</v>
      </c>
      <c r="F729" t="s">
        <v>2251</v>
      </c>
      <c r="G729" t="s">
        <v>2252</v>
      </c>
      <c r="H729" s="519">
        <v>5</v>
      </c>
      <c r="I729" s="57">
        <v>2.4638034302989702</v>
      </c>
      <c r="J729" s="32">
        <v>2.6140404789460199</v>
      </c>
      <c r="K729" s="99">
        <v>2.5355376718949798</v>
      </c>
      <c r="L729" s="2447">
        <v>5.9025683145944896</v>
      </c>
      <c r="M729" s="1164">
        <v>5.6522656565731602</v>
      </c>
      <c r="N729" s="1647">
        <v>6.6349582194073804</v>
      </c>
      <c r="O729" s="1046">
        <v>2.07887604911443</v>
      </c>
      <c r="P729" s="712">
        <v>2.1440941953547399</v>
      </c>
      <c r="Q729" s="2095">
        <v>2.27707906907417</v>
      </c>
      <c r="R729" s="688">
        <v>1.8767180753432999</v>
      </c>
      <c r="S729" s="872">
        <v>1.6571260909733101</v>
      </c>
      <c r="T729" s="857">
        <v>2.0377879301444901</v>
      </c>
    </row>
    <row r="730" spans="1:20">
      <c r="A730" t="s">
        <v>2253</v>
      </c>
      <c r="B730" s="6" t="str">
        <f>HYPERLINK("http://www.ncbi.nlm.nih.gov/gene/30936", "30936")</f>
        <v>30936</v>
      </c>
      <c r="C730" s="6" t="str">
        <f>HYPERLINK("http://www.ncbi.nlm.nih.gov/gene/57864", "57864")</f>
        <v>57864</v>
      </c>
      <c r="D730" t="str">
        <f>"Slc46a2"</f>
        <v>Slc46a2</v>
      </c>
      <c r="E730" t="s">
        <v>2254</v>
      </c>
      <c r="F730" t="s">
        <v>2255</v>
      </c>
      <c r="H730" s="519">
        <v>5</v>
      </c>
      <c r="I730" s="83">
        <v>2.56426704270307</v>
      </c>
      <c r="J730" s="79">
        <v>2.5331219953758799</v>
      </c>
      <c r="K730" s="41">
        <v>2.5534065098637999</v>
      </c>
      <c r="L730" s="2472">
        <v>3.8754425938424899</v>
      </c>
      <c r="M730" s="707">
        <v>3.9068064154305802</v>
      </c>
      <c r="N730" s="2473">
        <v>4.1997071938395303</v>
      </c>
      <c r="O730" s="1080">
        <v>2.4446203219885101</v>
      </c>
      <c r="P730" s="599">
        <v>2.5971131490257702</v>
      </c>
      <c r="Q730" s="2171">
        <v>2.6571009962909198</v>
      </c>
      <c r="R730" s="699">
        <v>2.6696058287440398</v>
      </c>
      <c r="S730" s="1174">
        <v>2.2243544772004902</v>
      </c>
      <c r="T730" s="1424">
        <v>2.5900528630478101</v>
      </c>
    </row>
    <row r="731" spans="1:20">
      <c r="A731" t="s">
        <v>2256</v>
      </c>
      <c r="B731" s="6" t="str">
        <f>HYPERLINK("http://www.ncbi.nlm.nih.gov/gene/13426", "13426")</f>
        <v>13426</v>
      </c>
      <c r="C731" s="6" t="str">
        <f>HYPERLINK("http://www.ncbi.nlm.nih.gov/gene/1780", "1780")</f>
        <v>1780</v>
      </c>
      <c r="D731" t="str">
        <f>"Dync1i1"</f>
        <v>Dync1i1</v>
      </c>
      <c r="E731" t="s">
        <v>2257</v>
      </c>
      <c r="F731" t="s">
        <v>2258</v>
      </c>
      <c r="G731" t="s">
        <v>2259</v>
      </c>
      <c r="H731" s="519">
        <v>5</v>
      </c>
      <c r="I731" s="62">
        <v>2.2391577796007298</v>
      </c>
      <c r="J731" s="83">
        <v>2.24350766336052</v>
      </c>
      <c r="K731" s="74">
        <v>2.31226343315732</v>
      </c>
      <c r="L731" s="2474">
        <v>4.3629298083007697</v>
      </c>
      <c r="M731" s="755">
        <v>3.8472907076255698</v>
      </c>
      <c r="N731" s="602">
        <v>4.1260382012699299</v>
      </c>
      <c r="O731" s="986">
        <v>2.1360972043279101</v>
      </c>
      <c r="P731" s="561">
        <v>2.0344548913115101</v>
      </c>
      <c r="Q731" s="2327">
        <v>2.01337068774823</v>
      </c>
      <c r="R731" s="1006">
        <v>2.3221922502454402</v>
      </c>
      <c r="S731" s="669">
        <v>2.2952784733030702</v>
      </c>
      <c r="T731" s="1437">
        <v>2.2575722674309899</v>
      </c>
    </row>
    <row r="732" spans="1:20">
      <c r="A732" t="s">
        <v>2260</v>
      </c>
      <c r="B732" s="6" t="str">
        <f>HYPERLINK("http://www.ncbi.nlm.nih.gov/gene/27260", "27260")</f>
        <v>27260</v>
      </c>
      <c r="C732" s="6" t="str">
        <f>HYPERLINK("http://www.ncbi.nlm.nih.gov/gene/26499", "26499")</f>
        <v>26499</v>
      </c>
      <c r="D732" t="str">
        <f>"Plek2"</f>
        <v>Plek2</v>
      </c>
      <c r="E732" t="s">
        <v>2261</v>
      </c>
      <c r="F732" t="s">
        <v>2262</v>
      </c>
      <c r="H732" s="519">
        <v>5</v>
      </c>
      <c r="I732" s="111">
        <v>3.58131167410333</v>
      </c>
      <c r="J732" s="146">
        <v>3.74092328027155</v>
      </c>
      <c r="K732" s="25">
        <v>3.45473993503294</v>
      </c>
      <c r="L732" s="2475">
        <v>6.2072802590033698</v>
      </c>
      <c r="M732" s="607">
        <v>5.9654694355786404</v>
      </c>
      <c r="N732" s="725">
        <v>6.0187493979095601</v>
      </c>
      <c r="O732" s="991">
        <v>3.2035987483738402</v>
      </c>
      <c r="P732" s="537">
        <v>3.32208180965221</v>
      </c>
      <c r="Q732" s="2176">
        <v>3.3101555488185199</v>
      </c>
      <c r="R732" s="549">
        <v>3.5719408225924001</v>
      </c>
      <c r="S732" s="610">
        <v>3.4912403583365301</v>
      </c>
      <c r="T732" s="1374">
        <v>3.62582802184233</v>
      </c>
    </row>
    <row r="733" spans="1:20">
      <c r="A733" t="s">
        <v>2263</v>
      </c>
      <c r="B733" s="6" t="str">
        <f>HYPERLINK("http://www.ncbi.nlm.nih.gov/gene/629147", "629147")</f>
        <v>629147</v>
      </c>
      <c r="C733" s="6" t="str">
        <f>HYPERLINK("http://www.ncbi.nlm.nih.gov/gene/613212", "613212")</f>
        <v>613212</v>
      </c>
      <c r="D733" t="str">
        <f>"Ctxn3"</f>
        <v>Ctxn3</v>
      </c>
      <c r="E733" t="s">
        <v>2264</v>
      </c>
      <c r="F733" t="s">
        <v>2265</v>
      </c>
      <c r="H733" s="519">
        <v>5</v>
      </c>
      <c r="I733" s="36">
        <v>2.73458218328439</v>
      </c>
      <c r="J733" s="156">
        <v>2.4528321008829401</v>
      </c>
      <c r="K733" s="47">
        <v>2.8340421199713202</v>
      </c>
      <c r="L733" s="2455">
        <v>5.7223404705111101</v>
      </c>
      <c r="M733" s="1022">
        <v>5.9312767332210701</v>
      </c>
      <c r="N733" s="621">
        <v>6.3881355071205599</v>
      </c>
      <c r="O733" s="1580">
        <v>2.27732825550282</v>
      </c>
      <c r="P733" s="712">
        <v>2.5369718992417698</v>
      </c>
      <c r="Q733" s="2221">
        <v>2.4278161006236698</v>
      </c>
      <c r="R733" s="583">
        <v>2.5638660106844502</v>
      </c>
      <c r="S733" s="1272">
        <v>2.7079544698736702</v>
      </c>
      <c r="T733" s="1358">
        <v>2.63254155846287</v>
      </c>
    </row>
    <row r="734" spans="1:20">
      <c r="A734" t="s">
        <v>2266</v>
      </c>
      <c r="B734" s="6" t="str">
        <f>HYPERLINK("http://www.ncbi.nlm.nih.gov/gene/211329", "211329")</f>
        <v>211329</v>
      </c>
      <c r="C734" s="6" t="str">
        <f>HYPERLINK("http://www.ncbi.nlm.nih.gov/gene/135112", "135112")</f>
        <v>135112</v>
      </c>
      <c r="D734" t="str">
        <f>"Ncoa7"</f>
        <v>Ncoa7</v>
      </c>
      <c r="E734" t="s">
        <v>2267</v>
      </c>
      <c r="F734" t="s">
        <v>2271</v>
      </c>
      <c r="H734" s="519">
        <v>5</v>
      </c>
      <c r="I734" s="126">
        <v>6.6545333334119299</v>
      </c>
      <c r="J734" s="41">
        <v>6.5358917152393303</v>
      </c>
      <c r="K734" s="96">
        <v>6.6085544481488601</v>
      </c>
      <c r="L734" s="2423">
        <v>8.1598296165789499</v>
      </c>
      <c r="M734" s="602">
        <v>8.2270480526426706</v>
      </c>
      <c r="N734" s="608">
        <v>8.2704882672311406</v>
      </c>
      <c r="O734" s="1086">
        <v>6.2341910727464702</v>
      </c>
      <c r="P734" s="610">
        <v>6.5184982822809197</v>
      </c>
      <c r="Q734" s="2476">
        <v>6.3894913475538804</v>
      </c>
      <c r="R734" s="636">
        <v>6.5255686809640903</v>
      </c>
      <c r="S734" s="1272">
        <v>6.5787874951539704</v>
      </c>
      <c r="T734" s="588">
        <v>6.5670480389203796</v>
      </c>
    </row>
    <row r="735" spans="1:20">
      <c r="A735" t="s">
        <v>2272</v>
      </c>
      <c r="B735" s="6" t="str">
        <f>HYPERLINK("http://www.ncbi.nlm.nih.gov/gene/329942", "329942")</f>
        <v>329942</v>
      </c>
      <c r="C735" s="6" t="str">
        <f>HYPERLINK("http://www.ncbi.nlm.nih.gov/gene/114784", "114784")</f>
        <v>114784</v>
      </c>
      <c r="D735" t="str">
        <f>"Csmd2"</f>
        <v>Csmd2</v>
      </c>
      <c r="E735" t="s">
        <v>2273</v>
      </c>
      <c r="F735" t="s">
        <v>90</v>
      </c>
      <c r="H735" s="519">
        <v>5</v>
      </c>
      <c r="I735" s="35">
        <v>3.74842936090038</v>
      </c>
      <c r="J735" s="53">
        <v>3.68593012091296</v>
      </c>
      <c r="K735" s="26">
        <v>3.7561008476374602</v>
      </c>
      <c r="L735" s="2447">
        <v>6.6887602790307303</v>
      </c>
      <c r="M735" s="653">
        <v>6.9726658325304802</v>
      </c>
      <c r="N735" s="587">
        <v>6.8764346659358804</v>
      </c>
      <c r="O735" s="1200">
        <v>3.58368667807177</v>
      </c>
      <c r="P735" s="851">
        <v>3.7085507701814602</v>
      </c>
      <c r="Q735" s="2477">
        <v>3.2528451533827401</v>
      </c>
      <c r="R735" s="1065">
        <v>4.1265547208037701</v>
      </c>
      <c r="S735" s="549">
        <v>3.8402302538203501</v>
      </c>
      <c r="T735" s="605">
        <v>3.9025104839571401</v>
      </c>
    </row>
    <row r="736" spans="1:20">
      <c r="A736" t="s">
        <v>2274</v>
      </c>
      <c r="B736" s="6" t="str">
        <f>HYPERLINK("http://www.ncbi.nlm.nih.gov/gene/21819", "21819")</f>
        <v>21819</v>
      </c>
      <c r="C736" s="6" t="str">
        <f>HYPERLINK("http://www.ncbi.nlm.nih.gov/gene/7038", "7038")</f>
        <v>7038</v>
      </c>
      <c r="D736" t="str">
        <f>"Tg"</f>
        <v>Tg</v>
      </c>
      <c r="E736" t="s">
        <v>2275</v>
      </c>
      <c r="F736" t="s">
        <v>2276</v>
      </c>
      <c r="G736" t="s">
        <v>2277</v>
      </c>
      <c r="H736" s="519">
        <v>5</v>
      </c>
      <c r="I736" s="72">
        <v>3.67755530942493</v>
      </c>
      <c r="J736" s="105">
        <v>3.5956552247496001</v>
      </c>
      <c r="K736" s="114">
        <v>3.44821054579486</v>
      </c>
      <c r="L736" s="2478">
        <v>5.9868625599344698</v>
      </c>
      <c r="M736" s="707">
        <v>5.8940630442678197</v>
      </c>
      <c r="N736" s="621">
        <v>6.3395441136084401</v>
      </c>
      <c r="O736" s="1581">
        <v>3.6793081552412001</v>
      </c>
      <c r="P736" s="544">
        <v>3.4298111350415699</v>
      </c>
      <c r="Q736" s="2076">
        <v>3.5903797127464299</v>
      </c>
      <c r="R736" s="594">
        <v>3.6397941239491098</v>
      </c>
      <c r="S736" s="636">
        <v>3.5898662525082501</v>
      </c>
      <c r="T736" s="623">
        <v>3.4293708408152002</v>
      </c>
    </row>
    <row r="737" spans="1:20">
      <c r="A737" t="s">
        <v>2278</v>
      </c>
      <c r="B737" s="6" t="str">
        <f>HYPERLINK("http://www.ncbi.nlm.nih.gov/gene/231238", "231238")</f>
        <v>231238</v>
      </c>
      <c r="C737" s="6" t="str">
        <f>HYPERLINK("http://www.ncbi.nlm.nih.gov/gene/23231", "23231")</f>
        <v>23231</v>
      </c>
      <c r="D737" t="str">
        <f>"Sel1l3"</f>
        <v>Sel1l3</v>
      </c>
      <c r="E737" t="s">
        <v>2279</v>
      </c>
      <c r="F737" t="s">
        <v>37</v>
      </c>
      <c r="H737" s="519">
        <v>5</v>
      </c>
      <c r="I737" s="91">
        <v>2.8801612419617402</v>
      </c>
      <c r="J737" s="28">
        <v>3.0656928489703001</v>
      </c>
      <c r="K737" s="139">
        <v>3.13037667632087</v>
      </c>
      <c r="L737" s="2447">
        <v>5.6719167373421397</v>
      </c>
      <c r="M737" s="679">
        <v>5.6898524626736604</v>
      </c>
      <c r="N737" s="541">
        <v>6.0885885838771197</v>
      </c>
      <c r="O737" s="1104">
        <v>3.2188099225998199</v>
      </c>
      <c r="P737" s="1040">
        <v>2.6622122954184602</v>
      </c>
      <c r="Q737" s="2076">
        <v>3.01799571514763</v>
      </c>
      <c r="R737" s="851">
        <v>2.97260873286961</v>
      </c>
      <c r="S737" s="533">
        <v>3.0628282971664702</v>
      </c>
      <c r="T737" s="857">
        <v>2.8961800281182799</v>
      </c>
    </row>
    <row r="738" spans="1:20">
      <c r="A738" t="s">
        <v>2280</v>
      </c>
      <c r="B738" s="6" t="str">
        <f>HYPERLINK("http://www.ncbi.nlm.nih.gov/gene/237831", "237831")</f>
        <v>237831</v>
      </c>
      <c r="C738" s="6" t="str">
        <f>HYPERLINK("http://www.ncbi.nlm.nih.gov/gene/284111", "284111")</f>
        <v>284111</v>
      </c>
      <c r="D738" t="str">
        <f>"Slc13a5"</f>
        <v>Slc13a5</v>
      </c>
      <c r="E738" t="s">
        <v>2281</v>
      </c>
      <c r="F738" t="s">
        <v>2285</v>
      </c>
      <c r="H738" s="519">
        <v>5</v>
      </c>
      <c r="I738" s="62">
        <v>3.3779012663364401</v>
      </c>
      <c r="J738" s="55">
        <v>3.3343157539293902</v>
      </c>
      <c r="K738" s="35">
        <v>3.3494634052008601</v>
      </c>
      <c r="L738" s="2461">
        <v>5.0697850460766203</v>
      </c>
      <c r="M738" s="1030">
        <v>5.3806860458774999</v>
      </c>
      <c r="N738" s="815">
        <v>5.3414776496559497</v>
      </c>
      <c r="O738" s="1453">
        <v>3.26116742826281</v>
      </c>
      <c r="P738" s="663">
        <v>3.2579055777308099</v>
      </c>
      <c r="Q738" s="2053">
        <v>3.45327428506645</v>
      </c>
      <c r="R738" s="583">
        <v>3.3303242512641398</v>
      </c>
      <c r="S738" s="533">
        <v>3.3913298716971201</v>
      </c>
      <c r="T738" s="857">
        <v>3.2702166532255901</v>
      </c>
    </row>
    <row r="739" spans="1:20">
      <c r="A739" t="s">
        <v>2286</v>
      </c>
      <c r="B739" s="6" t="str">
        <f>HYPERLINK("http://www.ncbi.nlm.nih.gov/gene/18584", "18584")</f>
        <v>18584</v>
      </c>
      <c r="C739" s="6" t="str">
        <f>HYPERLINK("http://www.ncbi.nlm.nih.gov/gene/5151", "5151")</f>
        <v>5151</v>
      </c>
      <c r="D739" t="str">
        <f>"Pde8a"</f>
        <v>Pde8a</v>
      </c>
      <c r="E739" t="s">
        <v>2287</v>
      </c>
      <c r="F739" t="s">
        <v>2268</v>
      </c>
      <c r="G739" t="s">
        <v>495</v>
      </c>
      <c r="H739" s="519">
        <v>5</v>
      </c>
      <c r="I739" s="98">
        <v>4.5652303075552796</v>
      </c>
      <c r="J739" s="87">
        <v>4.7385165214229596</v>
      </c>
      <c r="K739" s="99">
        <v>4.7881856921372403</v>
      </c>
      <c r="L739" s="2479">
        <v>6.6294988153013401</v>
      </c>
      <c r="M739" s="837">
        <v>6.4263811039543599</v>
      </c>
      <c r="N739" s="653">
        <v>6.6541417712703099</v>
      </c>
      <c r="O739" s="1580">
        <v>4.4427892099354498</v>
      </c>
      <c r="P739" s="688">
        <v>4.4604762353559799</v>
      </c>
      <c r="Q739" s="2057">
        <v>4.6332776909830704</v>
      </c>
      <c r="R739" s="872">
        <v>4.3506870908902302</v>
      </c>
      <c r="S739" s="699">
        <v>4.7881029640063799</v>
      </c>
      <c r="T739" s="539">
        <v>4.7619908489908402</v>
      </c>
    </row>
    <row r="740" spans="1:20">
      <c r="A740" t="s">
        <v>2269</v>
      </c>
      <c r="B740" s="6" t="str">
        <f>HYPERLINK("http://www.ncbi.nlm.nih.gov/gene/104443", "104443")</f>
        <v>104443</v>
      </c>
      <c r="C740" s="6" t="str">
        <f>HYPERLINK("http://www.ncbi.nlm.nih.gov/gene/10886", "10886")</f>
        <v>10886</v>
      </c>
      <c r="D740" t="str">
        <f>"Npffr2"</f>
        <v>Npffr2</v>
      </c>
      <c r="E740" t="s">
        <v>2270</v>
      </c>
      <c r="F740" t="s">
        <v>2282</v>
      </c>
      <c r="G740" t="s">
        <v>106</v>
      </c>
      <c r="H740" s="519">
        <v>5</v>
      </c>
      <c r="I740" s="104">
        <v>2.94023767746544</v>
      </c>
      <c r="J740" s="98">
        <v>2.5068749705720399</v>
      </c>
      <c r="K740" s="83">
        <v>2.6845400582370398</v>
      </c>
      <c r="L740" s="2431">
        <v>6.2917981095007898</v>
      </c>
      <c r="M740" s="565">
        <v>6.4720165550969702</v>
      </c>
      <c r="N740" s="810">
        <v>6.7887030452548398</v>
      </c>
      <c r="O740" s="1043">
        <v>2.53435598960839</v>
      </c>
      <c r="P740" s="993">
        <v>2.1462350802174202</v>
      </c>
      <c r="Q740" s="2476">
        <v>2.3047846410099599</v>
      </c>
      <c r="R740" s="572">
        <v>2.44489509703063</v>
      </c>
      <c r="S740" s="543">
        <v>2.8748156497681001</v>
      </c>
      <c r="T740" s="897">
        <v>2.9024622371429198</v>
      </c>
    </row>
    <row r="741" spans="1:20">
      <c r="A741" t="s">
        <v>2283</v>
      </c>
      <c r="B741" s="6" t="str">
        <f>HYPERLINK("http://www.ncbi.nlm.nih.gov/gene/14629", "14629")</f>
        <v>14629</v>
      </c>
      <c r="C741" s="6" t="str">
        <f>HYPERLINK("http://www.ncbi.nlm.nih.gov/gene/2729", "2729")</f>
        <v>2729</v>
      </c>
      <c r="D741" t="str">
        <f>"Gclc"</f>
        <v>Gclc</v>
      </c>
      <c r="E741" t="s">
        <v>2284</v>
      </c>
      <c r="F741" t="s">
        <v>2288</v>
      </c>
      <c r="G741" t="s">
        <v>394</v>
      </c>
      <c r="H741" s="519">
        <v>5</v>
      </c>
      <c r="I741" s="146">
        <v>6.8807056015903703</v>
      </c>
      <c r="J741" s="68">
        <v>6.8039013209841599</v>
      </c>
      <c r="K741" s="47">
        <v>6.8525882778072402</v>
      </c>
      <c r="L741" s="2480">
        <v>7.8697558186727301</v>
      </c>
      <c r="M741" s="868">
        <v>7.9053908526160699</v>
      </c>
      <c r="N741" s="868">
        <v>7.9071192249939104</v>
      </c>
      <c r="O741" s="1117">
        <v>6.77590646083768</v>
      </c>
      <c r="P741" s="663">
        <v>6.7189092816718698</v>
      </c>
      <c r="Q741" s="2249">
        <v>6.7337667474077803</v>
      </c>
      <c r="R741" s="876">
        <v>6.6222503342867398</v>
      </c>
      <c r="S741" s="1343">
        <v>6.7493826409384701</v>
      </c>
      <c r="T741" s="1431">
        <v>6.7568779759539996</v>
      </c>
    </row>
    <row r="742" spans="1:20">
      <c r="A742" t="s">
        <v>2289</v>
      </c>
      <c r="B742" s="6" t="str">
        <f>HYPERLINK("http://www.ncbi.nlm.nih.gov/gene/67194", "67194")</f>
        <v>67194</v>
      </c>
      <c r="C742" s="6" t="str">
        <f>HYPERLINK("http://www.ncbi.nlm.nih.gov/gene/", "")</f>
        <v/>
      </c>
      <c r="D742" t="str">
        <f>"2700038G22Rik"</f>
        <v>2700038G22Rik</v>
      </c>
      <c r="E742" t="s">
        <v>2290</v>
      </c>
      <c r="F742" t="s">
        <v>90</v>
      </c>
      <c r="H742" s="519">
        <v>5</v>
      </c>
      <c r="I742" s="46">
        <v>4.7846958645548998</v>
      </c>
      <c r="J742" s="58">
        <v>4.7906578941764097</v>
      </c>
      <c r="K742" s="97">
        <v>5.1392704617409803</v>
      </c>
      <c r="L742" s="2461">
        <v>6.0331235492850004</v>
      </c>
      <c r="M742" s="597">
        <v>6.2006394307902601</v>
      </c>
      <c r="N742" s="653">
        <v>6.20840974639788</v>
      </c>
      <c r="O742" s="1370">
        <v>4.8664719754798202</v>
      </c>
      <c r="P742" s="1007">
        <v>4.7262894825297499</v>
      </c>
      <c r="Q742" s="2064">
        <v>4.8547788927031403</v>
      </c>
      <c r="R742" s="669">
        <v>4.9234036825339</v>
      </c>
      <c r="S742" s="680">
        <v>4.9688032526138102</v>
      </c>
      <c r="T742" s="1282">
        <v>4.7476789830696298</v>
      </c>
    </row>
    <row r="743" spans="1:20">
      <c r="A743" t="s">
        <v>2291</v>
      </c>
      <c r="B743" s="6" t="str">
        <f>HYPERLINK("http://www.ncbi.nlm.nih.gov/gene/69219", "69219")</f>
        <v>69219</v>
      </c>
      <c r="C743" s="6" t="str">
        <f>HYPERLINK("http://www.ncbi.nlm.nih.gov/gene/23576", "23576")</f>
        <v>23576</v>
      </c>
      <c r="D743" t="str">
        <f>"Ddah1"</f>
        <v>Ddah1</v>
      </c>
      <c r="E743" t="s">
        <v>2292</v>
      </c>
      <c r="F743" t="s">
        <v>2299</v>
      </c>
      <c r="H743" s="519">
        <v>5</v>
      </c>
      <c r="I743" s="155">
        <v>5.92757122629033</v>
      </c>
      <c r="J743" s="84">
        <v>5.3284384288608004</v>
      </c>
      <c r="K743" s="99">
        <v>5.8245485310087703</v>
      </c>
      <c r="L743" s="2429">
        <v>7.0234393405150204</v>
      </c>
      <c r="M743" s="652">
        <v>7.2034438043892397</v>
      </c>
      <c r="N743" s="711">
        <v>7.2616921933226202</v>
      </c>
      <c r="O743" s="1046">
        <v>5.6470721788124196</v>
      </c>
      <c r="P743" s="604">
        <v>5.7644504397520899</v>
      </c>
      <c r="Q743" s="2476">
        <v>5.5735966231241303</v>
      </c>
      <c r="R743" s="537">
        <v>5.5912789127806599</v>
      </c>
      <c r="S743" s="609">
        <v>5.7579239315332202</v>
      </c>
      <c r="T743" s="721">
        <v>5.7920246965803903</v>
      </c>
    </row>
    <row r="744" spans="1:20">
      <c r="A744" t="s">
        <v>2300</v>
      </c>
      <c r="B744" s="6" t="str">
        <f>HYPERLINK("http://www.ncbi.nlm.nih.gov/gene/271813", "271813")</f>
        <v>271813</v>
      </c>
      <c r="C744" s="6" t="str">
        <f>HYPERLINK("http://www.ncbi.nlm.nih.gov/gene/79841", "79841")</f>
        <v>79841</v>
      </c>
      <c r="D744" t="str">
        <f>"Agbl2"</f>
        <v>Agbl2</v>
      </c>
      <c r="E744" t="s">
        <v>2301</v>
      </c>
      <c r="F744" t="s">
        <v>2296</v>
      </c>
      <c r="H744" s="519">
        <v>5</v>
      </c>
      <c r="I744" s="35">
        <v>3.4304164795251699</v>
      </c>
      <c r="J744" s="248">
        <v>3.1320091654335398</v>
      </c>
      <c r="K744" s="190">
        <v>3.6605376675643999</v>
      </c>
      <c r="L744" s="2463">
        <v>5.1768538476391299</v>
      </c>
      <c r="M744" s="804">
        <v>5.0380269847752501</v>
      </c>
      <c r="N744" s="719">
        <v>5.3852828731911098</v>
      </c>
      <c r="O744" s="1005">
        <v>3.1853625498380702</v>
      </c>
      <c r="P744" s="609">
        <v>3.5148005822037001</v>
      </c>
      <c r="Q744" s="2171">
        <v>3.5779910402367099</v>
      </c>
      <c r="R744" s="864">
        <v>3.2302716845503499</v>
      </c>
      <c r="S744" s="609">
        <v>3.5189832115073401</v>
      </c>
      <c r="T744" s="551">
        <v>3.6446601334662398</v>
      </c>
    </row>
    <row r="745" spans="1:20">
      <c r="A745" t="s">
        <v>2297</v>
      </c>
      <c r="B745" s="6" t="str">
        <f>HYPERLINK("http://www.ncbi.nlm.nih.gov/gene/170571", "170571")</f>
        <v>170571</v>
      </c>
      <c r="C745" s="6" t="str">
        <f>HYPERLINK("http://www.ncbi.nlm.nih.gov/gene/85445", "85445")</f>
        <v>85445</v>
      </c>
      <c r="D745" t="str">
        <f>"Cntnap4"</f>
        <v>Cntnap4</v>
      </c>
      <c r="E745" t="s">
        <v>2298</v>
      </c>
      <c r="F745" t="s">
        <v>2293</v>
      </c>
      <c r="H745" s="519">
        <v>5</v>
      </c>
      <c r="I745" s="27">
        <v>2.77655006844993</v>
      </c>
      <c r="J745" s="195">
        <v>2.71947025433944</v>
      </c>
      <c r="K745" s="242">
        <v>3.15000565795863</v>
      </c>
      <c r="L745" s="2409">
        <v>3.9467626286939099</v>
      </c>
      <c r="M745" s="693">
        <v>3.9975153780909798</v>
      </c>
      <c r="N745" s="2481">
        <v>4.2478479559808298</v>
      </c>
      <c r="O745" s="1043">
        <v>2.8820610845348802</v>
      </c>
      <c r="P745" s="609">
        <v>2.9585982180080799</v>
      </c>
      <c r="Q745" s="2077">
        <v>3.00890873937526</v>
      </c>
      <c r="R745" s="592">
        <v>2.9264248746741699</v>
      </c>
      <c r="S745" s="1340">
        <v>2.7185140477945899</v>
      </c>
      <c r="T745" s="1582">
        <v>3.02510302403839</v>
      </c>
    </row>
    <row r="746" spans="1:20">
      <c r="A746" t="s">
        <v>2294</v>
      </c>
      <c r="B746" s="6" t="str">
        <f>HYPERLINK("http://www.ncbi.nlm.nih.gov/gene/83453", "83453")</f>
        <v>83453</v>
      </c>
      <c r="C746" s="6" t="str">
        <f>HYPERLINK("http://www.ncbi.nlm.nih.gov/gene/91851", "91851")</f>
        <v>91851</v>
      </c>
      <c r="D746" t="str">
        <f>"Chrdl1"</f>
        <v>Chrdl1</v>
      </c>
      <c r="E746" t="s">
        <v>2295</v>
      </c>
      <c r="F746" t="s">
        <v>2302</v>
      </c>
      <c r="H746" s="519">
        <v>5</v>
      </c>
      <c r="I746" s="50">
        <v>3.2007756892160599</v>
      </c>
      <c r="J746" s="61">
        <v>3.2164139604664901</v>
      </c>
      <c r="K746" s="202">
        <v>3.4834298820866398</v>
      </c>
      <c r="L746" s="2459">
        <v>4.9637996207518196</v>
      </c>
      <c r="M746" s="777">
        <v>4.9396699027372497</v>
      </c>
      <c r="N746" s="587">
        <v>4.9958202799170301</v>
      </c>
      <c r="O746" s="1580">
        <v>3.0774606922782199</v>
      </c>
      <c r="P746" s="629">
        <v>3.4304164795251699</v>
      </c>
      <c r="Q746" s="2099">
        <v>3.44229687828091</v>
      </c>
      <c r="R746" s="578">
        <v>2.8957691074476002</v>
      </c>
      <c r="S746" s="604">
        <v>3.3268498889965801</v>
      </c>
      <c r="T746" s="1293">
        <v>3.0477985367294198</v>
      </c>
    </row>
    <row r="747" spans="1:20">
      <c r="A747" t="s">
        <v>2303</v>
      </c>
      <c r="B747" s="6" t="str">
        <f>HYPERLINK("http://www.ncbi.nlm.nih.gov/gene/71720", "71720")</f>
        <v>71720</v>
      </c>
      <c r="C747" s="6" t="str">
        <f>HYPERLINK("http://www.ncbi.nlm.nih.gov/gene/26031", "26031")</f>
        <v>26031</v>
      </c>
      <c r="D747" t="str">
        <f>"Osbpl3"</f>
        <v>Osbpl3</v>
      </c>
      <c r="E747" t="s">
        <v>2304</v>
      </c>
      <c r="F747" t="s">
        <v>2309</v>
      </c>
      <c r="H747" s="519">
        <v>5</v>
      </c>
      <c r="I747" s="61">
        <v>4.6729438464425099</v>
      </c>
      <c r="J747" s="212">
        <v>4.3476803667662303</v>
      </c>
      <c r="K747" s="32">
        <v>4.8242925906504599</v>
      </c>
      <c r="L747" s="2408">
        <v>5.86451880535272</v>
      </c>
      <c r="M747" s="815">
        <v>6.01106258703199</v>
      </c>
      <c r="N747" s="811">
        <v>5.8932923853355801</v>
      </c>
      <c r="O747" s="989">
        <v>4.7290885571664596</v>
      </c>
      <c r="P747" s="853">
        <v>4.8769453686954796</v>
      </c>
      <c r="Q747" s="2258">
        <v>4.91854896397576</v>
      </c>
      <c r="R747" s="1191">
        <v>4.4943399819236998</v>
      </c>
      <c r="S747" s="532">
        <v>4.7015319240608804</v>
      </c>
      <c r="T747" s="1397">
        <v>4.6439138519696401</v>
      </c>
    </row>
    <row r="748" spans="1:20">
      <c r="A748" t="s">
        <v>2310</v>
      </c>
      <c r="B748" s="6" t="str">
        <f>HYPERLINK("http://www.ncbi.nlm.nih.gov/gene/215821", "215821")</f>
        <v>215821</v>
      </c>
      <c r="C748" s="6" t="str">
        <f>HYPERLINK("http://www.ncbi.nlm.nih.gov/gene/57221", "57221")</f>
        <v>57221</v>
      </c>
      <c r="D748" t="str">
        <f>"D10Bwg1379e"</f>
        <v>D10Bwg1379e</v>
      </c>
      <c r="E748" t="s">
        <v>2320</v>
      </c>
      <c r="F748" t="s">
        <v>2311</v>
      </c>
      <c r="H748" s="519">
        <v>5</v>
      </c>
      <c r="I748" s="474">
        <v>4.54381912927842</v>
      </c>
      <c r="J748" s="104">
        <v>4.1013522438821903</v>
      </c>
      <c r="K748" s="149">
        <v>4.14843128292011</v>
      </c>
      <c r="L748" s="1972">
        <v>5.2547580317409501</v>
      </c>
      <c r="M748" s="756">
        <v>5.30400533979891</v>
      </c>
      <c r="N748" s="2473">
        <v>5.7047943264670398</v>
      </c>
      <c r="O748" s="1211">
        <v>4.3163276681854601</v>
      </c>
      <c r="P748" s="1087">
        <v>3.7276862819871099</v>
      </c>
      <c r="Q748" s="2041">
        <v>3.9685380339365799</v>
      </c>
      <c r="R748" s="1191">
        <v>3.7453167626590398</v>
      </c>
      <c r="S748" s="1412">
        <v>3.59109601029532</v>
      </c>
      <c r="T748" s="735">
        <v>3.8498108594064502</v>
      </c>
    </row>
    <row r="749" spans="1:20">
      <c r="A749" t="s">
        <v>2312</v>
      </c>
      <c r="B749" s="6" t="str">
        <f>HYPERLINK("http://www.ncbi.nlm.nih.gov/gene/109648", "109648")</f>
        <v>109648</v>
      </c>
      <c r="C749" s="6" t="str">
        <f>HYPERLINK("http://www.ncbi.nlm.nih.gov/gene/4852", "4852")</f>
        <v>4852</v>
      </c>
      <c r="D749" t="str">
        <f>"Npy"</f>
        <v>Npy</v>
      </c>
      <c r="E749" t="s">
        <v>2313</v>
      </c>
      <c r="F749" t="s">
        <v>2305</v>
      </c>
      <c r="G749" t="s">
        <v>2306</v>
      </c>
      <c r="H749" s="519">
        <v>5</v>
      </c>
      <c r="I749" s="52">
        <v>4.0554280957681801</v>
      </c>
      <c r="J749" s="155">
        <v>4.1420013486310703</v>
      </c>
      <c r="K749" s="51">
        <v>3.7186439903206399</v>
      </c>
      <c r="L749" s="2482">
        <v>5.6655532923391698</v>
      </c>
      <c r="M749" s="571">
        <v>5.2747068739048597</v>
      </c>
      <c r="N749" s="837">
        <v>5.3277256794294097</v>
      </c>
      <c r="O749" s="1234">
        <v>4.0530967309519301</v>
      </c>
      <c r="P749" s="1153">
        <v>3.5666604250793301</v>
      </c>
      <c r="Q749" s="2073">
        <v>3.8665386061623899</v>
      </c>
      <c r="R749" s="579">
        <v>3.91869396980114</v>
      </c>
      <c r="S749" s="1037">
        <v>3.7543930808382</v>
      </c>
      <c r="T749" s="721">
        <v>3.9998318930516099</v>
      </c>
    </row>
    <row r="750" spans="1:20">
      <c r="A750" t="s">
        <v>2307</v>
      </c>
      <c r="B750" s="6" t="str">
        <f>HYPERLINK("http://www.ncbi.nlm.nih.gov/gene/15900", "15900")</f>
        <v>15900</v>
      </c>
      <c r="C750" s="6" t="str">
        <f>HYPERLINK("http://www.ncbi.nlm.nih.gov/gene/3394", "3394")</f>
        <v>3394</v>
      </c>
      <c r="D750" t="str">
        <f>"Irf8"</f>
        <v>Irf8</v>
      </c>
      <c r="E750" t="s">
        <v>2308</v>
      </c>
      <c r="F750" t="s">
        <v>2317</v>
      </c>
      <c r="H750" s="519">
        <v>5</v>
      </c>
      <c r="I750" s="133">
        <v>4.2694849781517599</v>
      </c>
      <c r="J750" s="35">
        <v>4.0314846117961602</v>
      </c>
      <c r="K750" s="139">
        <v>4.0875291611183098</v>
      </c>
      <c r="L750" s="2483">
        <v>5.3563169921035501</v>
      </c>
      <c r="M750" s="761">
        <v>5.0863224005322101</v>
      </c>
      <c r="N750" s="652">
        <v>5.2885216243728399</v>
      </c>
      <c r="O750" s="1230">
        <v>4.2050095308926903</v>
      </c>
      <c r="P750" s="1081">
        <v>3.96714079716484</v>
      </c>
      <c r="Q750" s="2217">
        <v>4.0895570198489199</v>
      </c>
      <c r="R750" s="688">
        <v>3.92429743750795</v>
      </c>
      <c r="S750" s="1319">
        <v>3.68005333831064</v>
      </c>
      <c r="T750" s="660">
        <v>4.0538262879224796</v>
      </c>
    </row>
    <row r="751" spans="1:20">
      <c r="A751" t="s">
        <v>2318</v>
      </c>
      <c r="B751" s="6" t="str">
        <f>HYPERLINK("http://www.ncbi.nlm.nih.gov/gene/327959", "327959")</f>
        <v>327959</v>
      </c>
      <c r="C751" s="6" t="str">
        <f>HYPERLINK("http://www.ncbi.nlm.nih.gov/gene/54739", "54739")</f>
        <v>54739</v>
      </c>
      <c r="D751" t="str">
        <f>"Xaf1"</f>
        <v>Xaf1</v>
      </c>
      <c r="E751" t="s">
        <v>2319</v>
      </c>
      <c r="F751" t="s">
        <v>2314</v>
      </c>
      <c r="H751" s="519">
        <v>5</v>
      </c>
      <c r="I751" s="97">
        <v>3.3491145186225602</v>
      </c>
      <c r="J751" s="99">
        <v>3.1093243163059001</v>
      </c>
      <c r="K751" s="28">
        <v>2.98873498954217</v>
      </c>
      <c r="L751" s="2483">
        <v>4.9938242313296204</v>
      </c>
      <c r="M751" s="1082">
        <v>4.3798740520297299</v>
      </c>
      <c r="N751" s="1018">
        <v>5.0941036435159699</v>
      </c>
      <c r="O751" s="1046">
        <v>2.89063349112942</v>
      </c>
      <c r="P751" s="566">
        <v>2.749164799096</v>
      </c>
      <c r="Q751" s="2484">
        <v>2.7922481503574299</v>
      </c>
      <c r="R751" s="662">
        <v>2.8967339227517099</v>
      </c>
      <c r="S751" s="619">
        <v>2.7914397295508602</v>
      </c>
      <c r="T751" s="660">
        <v>2.9792447910619102</v>
      </c>
    </row>
    <row r="752" spans="1:20">
      <c r="A752" t="s">
        <v>2315</v>
      </c>
      <c r="B752" s="6" t="str">
        <f>HYPERLINK("http://www.ncbi.nlm.nih.gov/gene/21336", "21336")</f>
        <v>21336</v>
      </c>
      <c r="C752" s="6" t="str">
        <f>HYPERLINK("http://www.ncbi.nlm.nih.gov/gene/6869", "6869")</f>
        <v>6869</v>
      </c>
      <c r="D752" t="str">
        <f>"Tacr1"</f>
        <v>Tacr1</v>
      </c>
      <c r="E752" t="s">
        <v>2316</v>
      </c>
      <c r="F752" t="s">
        <v>2321</v>
      </c>
      <c r="G752" t="s">
        <v>69</v>
      </c>
      <c r="H752" s="519">
        <v>5</v>
      </c>
      <c r="I752" s="120">
        <v>3.7584428367095701</v>
      </c>
      <c r="J752" s="195">
        <v>3.55426536036958</v>
      </c>
      <c r="K752" s="72">
        <v>3.7733387707066099</v>
      </c>
      <c r="L752" s="2468">
        <v>4.83598081807102</v>
      </c>
      <c r="M752" s="558">
        <v>4.69766343038473</v>
      </c>
      <c r="N752" s="603">
        <v>4.8386896995761903</v>
      </c>
      <c r="O752" s="1348">
        <v>3.7183007697078101</v>
      </c>
      <c r="P752" s="663">
        <v>3.67480938566346</v>
      </c>
      <c r="Q752" s="2322">
        <v>3.3702900734788099</v>
      </c>
      <c r="R752" s="1454">
        <v>4.1678966470535297</v>
      </c>
      <c r="S752" s="680">
        <v>3.8133279302840202</v>
      </c>
      <c r="T752" s="1583">
        <v>3.8355253003571899</v>
      </c>
    </row>
    <row r="753" spans="1:20">
      <c r="A753" t="s">
        <v>2336</v>
      </c>
      <c r="B753" s="6" t="str">
        <f>HYPERLINK("http://www.ncbi.nlm.nih.gov/gene/211652", "211652")</f>
        <v>211652</v>
      </c>
      <c r="C753" s="6" t="str">
        <f>HYPERLINK("http://www.ncbi.nlm.nih.gov/gene/23286", "23286")</f>
        <v>23286</v>
      </c>
      <c r="D753" t="str">
        <f>"Wwc1"</f>
        <v>Wwc1</v>
      </c>
      <c r="E753" t="s">
        <v>2337</v>
      </c>
      <c r="F753" t="s">
        <v>2322</v>
      </c>
      <c r="H753" s="519">
        <v>5</v>
      </c>
      <c r="I753" s="114">
        <v>3.6115358486244502</v>
      </c>
      <c r="J753" s="73">
        <v>3.6059276027478302</v>
      </c>
      <c r="K753" s="88">
        <v>3.5512379283271098</v>
      </c>
      <c r="L753" s="2485">
        <v>4.9546270672645996</v>
      </c>
      <c r="M753" s="686">
        <v>5.0984268593760698</v>
      </c>
      <c r="N753" s="621">
        <v>5.3445427673339498</v>
      </c>
      <c r="O753" s="1097">
        <v>3.8436741313737999</v>
      </c>
      <c r="P753" s="1040">
        <v>3.5046214995413401</v>
      </c>
      <c r="Q753" s="2330">
        <v>3.3922888535713098</v>
      </c>
      <c r="R753" s="739">
        <v>4.1998043988265001</v>
      </c>
      <c r="S753" s="543">
        <v>3.79280390142815</v>
      </c>
      <c r="T753" s="642">
        <v>3.77915843139193</v>
      </c>
    </row>
    <row r="754" spans="1:20">
      <c r="A754" t="s">
        <v>2323</v>
      </c>
      <c r="B754" s="6" t="str">
        <f>HYPERLINK("http://www.ncbi.nlm.nih.gov/gene/72269", "72269")</f>
        <v>72269</v>
      </c>
      <c r="C754" s="6" t="str">
        <f>HYPERLINK("http://www.ncbi.nlm.nih.gov/gene/978", "978")</f>
        <v>978</v>
      </c>
      <c r="D754" t="str">
        <f>"Cda"</f>
        <v>Cda</v>
      </c>
      <c r="E754" t="s">
        <v>2324</v>
      </c>
      <c r="F754" t="s">
        <v>2325</v>
      </c>
      <c r="G754" t="s">
        <v>2326</v>
      </c>
      <c r="H754" s="519">
        <v>5</v>
      </c>
      <c r="I754" s="24">
        <v>4.4507582706991604</v>
      </c>
      <c r="J754" s="135">
        <v>4.3115354171656</v>
      </c>
      <c r="K754" s="73">
        <v>4.5262316139429304</v>
      </c>
      <c r="L754" s="2468">
        <v>6.09082603784175</v>
      </c>
      <c r="M754" s="679">
        <v>6.0372453880789303</v>
      </c>
      <c r="N754" s="603">
        <v>6.09555638979782</v>
      </c>
      <c r="O754" s="1099">
        <v>5.0379692850982796</v>
      </c>
      <c r="P754" s="636">
        <v>4.6131590966811897</v>
      </c>
      <c r="Q754" s="2221">
        <v>4.5374517894085296</v>
      </c>
      <c r="R754" s="687">
        <v>4.7605350579203796</v>
      </c>
      <c r="S754" s="604">
        <v>4.6816988050774402</v>
      </c>
      <c r="T754" s="1397">
        <v>4.5588847812592102</v>
      </c>
    </row>
    <row r="755" spans="1:20">
      <c r="A755" t="s">
        <v>2327</v>
      </c>
      <c r="B755" s="6" t="str">
        <f>HYPERLINK("http://www.ncbi.nlm.nih.gov/gene/52822", "52822")</f>
        <v>52822</v>
      </c>
      <c r="C755" s="6" t="str">
        <f>HYPERLINK("http://www.ncbi.nlm.nih.gov/gene/22902", "22902")</f>
        <v>22902</v>
      </c>
      <c r="D755" t="str">
        <f>"Rufy3"</f>
        <v>Rufy3</v>
      </c>
      <c r="E755" t="s">
        <v>2328</v>
      </c>
      <c r="F755" t="s">
        <v>2329</v>
      </c>
      <c r="H755" s="519">
        <v>5</v>
      </c>
      <c r="I755" s="99">
        <v>6.2498353659263097</v>
      </c>
      <c r="J755" s="43">
        <v>6.0561437749546698</v>
      </c>
      <c r="K755" s="198">
        <v>6.2533341345918201</v>
      </c>
      <c r="L755" s="2429">
        <v>7.1459966106218298</v>
      </c>
      <c r="M755" s="815">
        <v>7.3153622650432197</v>
      </c>
      <c r="N755" s="587">
        <v>7.2770369224332603</v>
      </c>
      <c r="O755" s="1279">
        <v>6.3452463590442401</v>
      </c>
      <c r="P755" s="600">
        <v>6.2223436907604102</v>
      </c>
      <c r="Q755" s="2425">
        <v>5.83311294662672</v>
      </c>
      <c r="R755" s="715">
        <v>6.1042885381456999</v>
      </c>
      <c r="S755" s="600">
        <v>6.2235511777932002</v>
      </c>
      <c r="T755" s="623">
        <v>6.0808745431638096</v>
      </c>
    </row>
    <row r="756" spans="1:20">
      <c r="A756" t="s">
        <v>2330</v>
      </c>
      <c r="B756" s="6" t="str">
        <f>HYPERLINK("http://www.ncbi.nlm.nih.gov/gene/11472", "11472")</f>
        <v>11472</v>
      </c>
      <c r="C756" s="6" t="str">
        <f>HYPERLINK("http://www.ncbi.nlm.nih.gov/gene/88", "88")</f>
        <v>88</v>
      </c>
      <c r="D756" t="str">
        <f>"Actn2"</f>
        <v>Actn2</v>
      </c>
      <c r="E756" t="s">
        <v>2331</v>
      </c>
      <c r="F756" t="s">
        <v>2332</v>
      </c>
      <c r="G756" t="s">
        <v>2333</v>
      </c>
      <c r="H756" s="519">
        <v>5</v>
      </c>
      <c r="I756" s="147">
        <v>3.5063614571450699</v>
      </c>
      <c r="J756" s="59">
        <v>3.1018730099085499</v>
      </c>
      <c r="K756" s="33">
        <v>3.4983039096462698</v>
      </c>
      <c r="L756" s="2486">
        <v>4.7033223944267899</v>
      </c>
      <c r="M756" s="603">
        <v>4.5052270666132204</v>
      </c>
      <c r="N756" s="979">
        <v>4.1176222112562098</v>
      </c>
      <c r="O756" s="1366">
        <v>3.0868294635541602</v>
      </c>
      <c r="P756" s="734">
        <v>3.12075056147108</v>
      </c>
      <c r="Q756" s="2128">
        <v>2.9113483895035399</v>
      </c>
      <c r="R756" s="849">
        <v>3.4305594964493502</v>
      </c>
      <c r="S756" s="555">
        <v>2.9755125802283602</v>
      </c>
      <c r="T756" s="588">
        <v>3.2302683429677601</v>
      </c>
    </row>
    <row r="757" spans="1:20">
      <c r="A757" t="s">
        <v>2334</v>
      </c>
      <c r="B757" s="6" t="str">
        <f>HYPERLINK("http://www.ncbi.nlm.nih.gov/gene/12606", "12606")</f>
        <v>12606</v>
      </c>
      <c r="C757" s="6" t="str">
        <f>HYPERLINK("http://www.ncbi.nlm.nih.gov/gene/1050", "1050")</f>
        <v>1050</v>
      </c>
      <c r="D757" t="str">
        <f>"Cebpa"</f>
        <v>Cebpa</v>
      </c>
      <c r="E757" t="s">
        <v>2335</v>
      </c>
      <c r="F757" t="s">
        <v>2338</v>
      </c>
      <c r="G757" t="s">
        <v>2339</v>
      </c>
      <c r="H757" s="519">
        <v>5</v>
      </c>
      <c r="I757" s="353">
        <v>3.73243964230599</v>
      </c>
      <c r="J757" s="96">
        <v>3.6094974359258698</v>
      </c>
      <c r="K757" s="61">
        <v>3.5364955071725999</v>
      </c>
      <c r="L757" s="2487">
        <v>4.8115213538660697</v>
      </c>
      <c r="M757" s="1018">
        <v>4.9063007729363202</v>
      </c>
      <c r="N757" s="947">
        <v>4.3843080990387797</v>
      </c>
      <c r="O757" s="1216">
        <v>3.7166466781888801</v>
      </c>
      <c r="P757" s="662">
        <v>3.5184892544436299</v>
      </c>
      <c r="Q757" s="2488">
        <v>3.0993549496321999</v>
      </c>
      <c r="R757" s="654">
        <v>3.7027646068856002</v>
      </c>
      <c r="S757" s="738">
        <v>3.6716262995653302</v>
      </c>
      <c r="T757" s="843">
        <v>3.4780196297239701</v>
      </c>
    </row>
    <row r="758" spans="1:20">
      <c r="A758" t="s">
        <v>2340</v>
      </c>
      <c r="B758" s="6" t="str">
        <f>HYPERLINK("http://www.ncbi.nlm.nih.gov/gene/21859", "21859")</f>
        <v>21859</v>
      </c>
      <c r="C758" s="6" t="str">
        <f>HYPERLINK("http://www.ncbi.nlm.nih.gov/gene/7078", "7078")</f>
        <v>7078</v>
      </c>
      <c r="D758" t="str">
        <f>"Timp3"</f>
        <v>Timp3</v>
      </c>
      <c r="E758" t="s">
        <v>2341</v>
      </c>
      <c r="F758" t="s">
        <v>2342</v>
      </c>
      <c r="H758" s="519">
        <v>5</v>
      </c>
      <c r="I758" s="238">
        <v>8.47483583905945</v>
      </c>
      <c r="J758" s="38">
        <v>8.3541670485464792</v>
      </c>
      <c r="K758" s="38">
        <v>8.3639203117125707</v>
      </c>
      <c r="L758" s="2472">
        <v>9.6885167485264692</v>
      </c>
      <c r="M758" s="707">
        <v>9.7288871805247492</v>
      </c>
      <c r="N758" s="1164">
        <v>9.6475979439339792</v>
      </c>
      <c r="O758" s="1186">
        <v>7.2933173576053099</v>
      </c>
      <c r="P758" s="1585">
        <v>7.4350307541012697</v>
      </c>
      <c r="Q758" s="2322">
        <v>7.3743856667933496</v>
      </c>
      <c r="R758" s="705">
        <v>8.2773687258783308</v>
      </c>
      <c r="S758" s="700">
        <v>8.2960760326302108</v>
      </c>
      <c r="T758" s="1586">
        <v>8.3333704291285393</v>
      </c>
    </row>
    <row r="759" spans="1:20">
      <c r="A759" t="s">
        <v>2343</v>
      </c>
      <c r="B759" s="6" t="str">
        <f>HYPERLINK("http://www.ncbi.nlm.nih.gov/gene/16776", "16776")</f>
        <v>16776</v>
      </c>
      <c r="C759" s="6" t="str">
        <f>HYPERLINK("http://www.ncbi.nlm.nih.gov/gene/3911", "3911")</f>
        <v>3911</v>
      </c>
      <c r="D759" t="str">
        <f>"Lama5"</f>
        <v>Lama5</v>
      </c>
      <c r="E759" t="s">
        <v>2344</v>
      </c>
      <c r="F759" t="s">
        <v>2345</v>
      </c>
      <c r="G759" t="s">
        <v>621</v>
      </c>
      <c r="H759" s="519">
        <v>5</v>
      </c>
      <c r="I759" s="310">
        <v>5.1216917153491801</v>
      </c>
      <c r="J759" s="134">
        <v>4.9746730411433298</v>
      </c>
      <c r="K759" s="155">
        <v>4.9184069445429399</v>
      </c>
      <c r="L759" s="2471">
        <v>6.4192475658119497</v>
      </c>
      <c r="M759" s="657">
        <v>6.3763988375569403</v>
      </c>
      <c r="N759" s="686">
        <v>6.4610777833303397</v>
      </c>
      <c r="O759" s="1456">
        <v>4.1235421885974901</v>
      </c>
      <c r="P759" s="1143">
        <v>3.8971720860582102</v>
      </c>
      <c r="Q759" s="2489">
        <v>4.0008843554191698</v>
      </c>
      <c r="R759" s="658">
        <v>5.0044406052383499</v>
      </c>
      <c r="S759" s="550">
        <v>4.8904593403556804</v>
      </c>
      <c r="T759" s="664">
        <v>4.8972416867986901</v>
      </c>
    </row>
    <row r="760" spans="1:20">
      <c r="A760" t="s">
        <v>2346</v>
      </c>
      <c r="B760" s="6" t="str">
        <f>HYPERLINK("http://www.ncbi.nlm.nih.gov/gene/84652", "84652")</f>
        <v>84652</v>
      </c>
      <c r="C760" s="6" t="str">
        <f>HYPERLINK("http://www.ncbi.nlm.nih.gov/gene/84668", "84668")</f>
        <v>84668</v>
      </c>
      <c r="D760" t="str">
        <f>"Fam126a"</f>
        <v>Fam126a</v>
      </c>
      <c r="E760" t="s">
        <v>2347</v>
      </c>
      <c r="F760" t="s">
        <v>2348</v>
      </c>
      <c r="H760" s="519">
        <v>5</v>
      </c>
      <c r="I760" s="69">
        <v>7.5111827370536099</v>
      </c>
      <c r="J760" s="82">
        <v>7.6898549123208202</v>
      </c>
      <c r="K760" s="54">
        <v>7.4850131620999303</v>
      </c>
      <c r="L760" s="2430">
        <v>8.9843533116436696</v>
      </c>
      <c r="M760" s="698">
        <v>8.8955957335999294</v>
      </c>
      <c r="N760" s="582">
        <v>9.0817887491029996</v>
      </c>
      <c r="O760" s="1587">
        <v>6.6372957208692602</v>
      </c>
      <c r="P760" s="1585">
        <v>6.7204816968335503</v>
      </c>
      <c r="Q760" s="2244">
        <v>6.9155202977950099</v>
      </c>
      <c r="R760" s="694">
        <v>7.4889849557771404</v>
      </c>
      <c r="S760" s="629">
        <v>7.4516275232574296</v>
      </c>
      <c r="T760" s="1588">
        <v>7.5762173567707798</v>
      </c>
    </row>
    <row r="761" spans="1:20">
      <c r="A761" t="s">
        <v>2349</v>
      </c>
      <c r="B761" s="6" t="str">
        <f>HYPERLINK("http://www.ncbi.nlm.nih.gov/gene/64085", "64085")</f>
        <v>64085</v>
      </c>
      <c r="C761" s="6" t="str">
        <f>HYPERLINK("http://www.ncbi.nlm.nih.gov/gene/64084", "64084")</f>
        <v>64084</v>
      </c>
      <c r="D761" t="str">
        <f>"Clstn2"</f>
        <v>Clstn2</v>
      </c>
      <c r="E761" t="s">
        <v>2350</v>
      </c>
      <c r="F761" t="s">
        <v>2351</v>
      </c>
      <c r="H761" s="519">
        <v>5</v>
      </c>
      <c r="I761" s="464">
        <v>5.1980727488908398</v>
      </c>
      <c r="J761" s="33">
        <v>4.8001757888125196</v>
      </c>
      <c r="K761" s="427">
        <v>4.9899592143468396</v>
      </c>
      <c r="L761" s="2405">
        <v>6.7763386596915103</v>
      </c>
      <c r="M761" s="1041">
        <v>6.8840958179752496</v>
      </c>
      <c r="N761" s="661">
        <v>7.0908759215584602</v>
      </c>
      <c r="O761" s="1589">
        <v>3.1033730634627501</v>
      </c>
      <c r="P761" s="1330">
        <v>3.35914987222576</v>
      </c>
      <c r="Q761" s="2490">
        <v>3.14655865452997</v>
      </c>
      <c r="R761" s="853">
        <v>4.5426272137165196</v>
      </c>
      <c r="S761" s="662">
        <v>3.9885804737612802</v>
      </c>
      <c r="T761" s="883">
        <v>4.21570062745851</v>
      </c>
    </row>
    <row r="762" spans="1:20">
      <c r="A762" t="s">
        <v>2352</v>
      </c>
      <c r="B762" s="6" t="str">
        <f>HYPERLINK("http://www.ncbi.nlm.nih.gov/gene/54403", "54403")</f>
        <v>54403</v>
      </c>
      <c r="C762" s="6" t="str">
        <f>HYPERLINK("http://www.ncbi.nlm.nih.gov/gene/8671", "8671")</f>
        <v>8671</v>
      </c>
      <c r="D762" t="str">
        <f>"Slc4a4"</f>
        <v>Slc4a4</v>
      </c>
      <c r="E762" t="s">
        <v>2353</v>
      </c>
      <c r="F762" t="s">
        <v>2354</v>
      </c>
      <c r="G762" t="s">
        <v>2355</v>
      </c>
      <c r="H762" s="519">
        <v>5</v>
      </c>
      <c r="I762" s="308">
        <v>5.9347449604762597</v>
      </c>
      <c r="J762" s="218">
        <v>5.7321659082304803</v>
      </c>
      <c r="K762" s="235">
        <v>5.8981241252856602</v>
      </c>
      <c r="L762" s="2491">
        <v>7.3405024150179399</v>
      </c>
      <c r="M762" s="804">
        <v>7.3416638029534997</v>
      </c>
      <c r="N762" s="565">
        <v>7.55899506768945</v>
      </c>
      <c r="O762" s="1549">
        <v>4.5071948886049</v>
      </c>
      <c r="P762" s="1412">
        <v>4.5596975213262301</v>
      </c>
      <c r="Q762" s="2143">
        <v>4.5004820535344701</v>
      </c>
      <c r="R762" s="654">
        <v>5.4779352164769701</v>
      </c>
      <c r="S762" s="549">
        <v>5.2477793331393601</v>
      </c>
      <c r="T762" s="1423">
        <v>5.1212953169678297</v>
      </c>
    </row>
    <row r="763" spans="1:20">
      <c r="A763" t="s">
        <v>2356</v>
      </c>
      <c r="B763" s="6" t="str">
        <f>HYPERLINK("http://www.ncbi.nlm.nih.gov/gene/26401", "26401")</f>
        <v>26401</v>
      </c>
      <c r="C763" s="6" t="str">
        <f>HYPERLINK("http://www.ncbi.nlm.nih.gov/gene/4214", "4214")</f>
        <v>4214</v>
      </c>
      <c r="D763" t="str">
        <f>"Map3k1"</f>
        <v>Map3k1</v>
      </c>
      <c r="E763" t="s">
        <v>2357</v>
      </c>
      <c r="F763" t="s">
        <v>2358</v>
      </c>
      <c r="G763" t="s">
        <v>2359</v>
      </c>
      <c r="H763" s="519">
        <v>5</v>
      </c>
      <c r="I763" s="464">
        <v>7.2980408380417296</v>
      </c>
      <c r="J763" s="33">
        <v>7.09908186726528</v>
      </c>
      <c r="K763" s="209">
        <v>7.0801849059400999</v>
      </c>
      <c r="L763" s="2421">
        <v>8.1562860958510903</v>
      </c>
      <c r="M763" s="823">
        <v>8.0384465029578909</v>
      </c>
      <c r="N763" s="868">
        <v>8.3197776625607993</v>
      </c>
      <c r="O763" s="1590">
        <v>6.1616338189717803</v>
      </c>
      <c r="P763" s="1188">
        <v>6.4460426568904596</v>
      </c>
      <c r="Q763" s="2323">
        <v>6.2833331793402003</v>
      </c>
      <c r="R763" s="790">
        <v>6.9805022598413498</v>
      </c>
      <c r="S763" s="595">
        <v>6.8218153993514399</v>
      </c>
      <c r="T763" s="834">
        <v>6.7696779341275404</v>
      </c>
    </row>
    <row r="764" spans="1:20">
      <c r="A764" t="s">
        <v>2360</v>
      </c>
      <c r="B764" s="6" t="str">
        <f>HYPERLINK("http://www.ncbi.nlm.nih.gov/gene/231503", "231503")</f>
        <v>231503</v>
      </c>
      <c r="C764" s="6" t="str">
        <f>HYPERLINK("http://www.ncbi.nlm.nih.gov/gene/441027", "441027")</f>
        <v>441027</v>
      </c>
      <c r="D764" t="str">
        <f>"Tmem150c"</f>
        <v>Tmem150c</v>
      </c>
      <c r="E764" t="s">
        <v>2383</v>
      </c>
      <c r="F764" t="s">
        <v>37</v>
      </c>
      <c r="H764" s="519">
        <v>5</v>
      </c>
      <c r="I764" s="303">
        <v>5.1805461892855202</v>
      </c>
      <c r="J764" s="44">
        <v>4.7277232709256802</v>
      </c>
      <c r="K764" s="255">
        <v>5.3599609985479999</v>
      </c>
      <c r="L764" s="2492">
        <v>6.3440811892005504</v>
      </c>
      <c r="M764" s="697">
        <v>6.6056933857282401</v>
      </c>
      <c r="N764" s="697">
        <v>6.6039456563062604</v>
      </c>
      <c r="O764" s="1146">
        <v>3.8604669033699901</v>
      </c>
      <c r="P764" s="1317">
        <v>3.7222404826625599</v>
      </c>
      <c r="Q764" s="2134">
        <v>3.9748036622389402</v>
      </c>
      <c r="R764" s="1228">
        <v>4.9467509883572998</v>
      </c>
      <c r="S764" s="654">
        <v>4.8323056820645203</v>
      </c>
      <c r="T764" s="1547">
        <v>5.0266433085442204</v>
      </c>
    </row>
    <row r="765" spans="1:20">
      <c r="A765" t="s">
        <v>2384</v>
      </c>
      <c r="B765" s="6" t="str">
        <f>HYPERLINK("http://www.ncbi.nlm.nih.gov/gene/12495", "12495")</f>
        <v>12495</v>
      </c>
      <c r="C765" s="6" t="str">
        <f>HYPERLINK("http://www.ncbi.nlm.nih.gov/gene/953", "953")</f>
        <v>953</v>
      </c>
      <c r="D765" t="str">
        <f>"Entpd1"</f>
        <v>Entpd1</v>
      </c>
      <c r="E765" t="s">
        <v>2385</v>
      </c>
      <c r="F765" t="s">
        <v>2361</v>
      </c>
      <c r="G765" t="s">
        <v>2362</v>
      </c>
      <c r="H765" s="519">
        <v>5</v>
      </c>
      <c r="I765" s="269">
        <v>5.8729371505197498</v>
      </c>
      <c r="J765" s="70">
        <v>5.4626569231559499</v>
      </c>
      <c r="K765" s="230">
        <v>6.0755066322284303</v>
      </c>
      <c r="L765" s="2410">
        <v>7.50095033408149</v>
      </c>
      <c r="M765" s="804">
        <v>7.5519344332566698</v>
      </c>
      <c r="N765" s="811">
        <v>7.7096857465914503</v>
      </c>
      <c r="O765" s="1142">
        <v>4.2401424050294398</v>
      </c>
      <c r="P765" s="1161">
        <v>4.2813323408843997</v>
      </c>
      <c r="Q765" s="2134">
        <v>4.4228101186328104</v>
      </c>
      <c r="R765" s="533">
        <v>5.19798546961814</v>
      </c>
      <c r="S765" s="650">
        <v>5.7158986665481804</v>
      </c>
      <c r="T765" s="812">
        <v>5.6249294601092501</v>
      </c>
    </row>
    <row r="766" spans="1:20">
      <c r="A766" t="s">
        <v>2363</v>
      </c>
      <c r="B766" s="6" t="str">
        <f>HYPERLINK("http://www.ncbi.nlm.nih.gov/gene/13032", "13032")</f>
        <v>13032</v>
      </c>
      <c r="C766" s="6" t="str">
        <f>HYPERLINK("http://www.ncbi.nlm.nih.gov/gene/1075", "1075")</f>
        <v>1075</v>
      </c>
      <c r="D766" t="str">
        <f>"Ctsc"</f>
        <v>Ctsc</v>
      </c>
      <c r="E766" t="s">
        <v>2364</v>
      </c>
      <c r="F766" t="s">
        <v>2365</v>
      </c>
      <c r="G766" t="s">
        <v>373</v>
      </c>
      <c r="H766" s="519">
        <v>5</v>
      </c>
      <c r="I766" s="170">
        <v>5.1826249471345998</v>
      </c>
      <c r="J766" s="224">
        <v>4.98487838352625</v>
      </c>
      <c r="K766" s="351">
        <v>5.3495308234893697</v>
      </c>
      <c r="L766" s="2485">
        <v>6.76830548842086</v>
      </c>
      <c r="M766" s="1252">
        <v>6.7960431502273897</v>
      </c>
      <c r="N766" s="598">
        <v>7.0716241563162896</v>
      </c>
      <c r="O766" s="1142">
        <v>3.6646974258047602</v>
      </c>
      <c r="P766" s="1286">
        <v>3.5013032251893099</v>
      </c>
      <c r="Q766" s="2493">
        <v>3.8069350445794101</v>
      </c>
      <c r="R766" s="849">
        <v>5.02167786703719</v>
      </c>
      <c r="S766" s="1226">
        <v>5.2168646690264202</v>
      </c>
      <c r="T766" s="1592">
        <v>4.891417934073</v>
      </c>
    </row>
    <row r="767" spans="1:20">
      <c r="A767" t="s">
        <v>2366</v>
      </c>
      <c r="B767" s="6" t="str">
        <f>HYPERLINK("http://www.ncbi.nlm.nih.gov/gene/19143", "19143")</f>
        <v>19143</v>
      </c>
      <c r="C767" s="6" t="str">
        <f>HYPERLINK("http://www.ncbi.nlm.nih.gov/gene/6768", "6768")</f>
        <v>6768</v>
      </c>
      <c r="D767" t="str">
        <f>"St14"</f>
        <v>St14</v>
      </c>
      <c r="E767" t="s">
        <v>2367</v>
      </c>
      <c r="F767" t="s">
        <v>2368</v>
      </c>
      <c r="H767" s="519">
        <v>5</v>
      </c>
      <c r="I767" s="82">
        <v>4.5805831465484204</v>
      </c>
      <c r="J767" s="125">
        <v>4.3330559633394499</v>
      </c>
      <c r="K767" s="202">
        <v>4.3755553070368203</v>
      </c>
      <c r="L767" s="2434">
        <v>6.0275619450318603</v>
      </c>
      <c r="M767" s="1164">
        <v>5.95058988425391</v>
      </c>
      <c r="N767" s="657">
        <v>5.9741816721992604</v>
      </c>
      <c r="O767" s="1089">
        <v>3.9045882447947302</v>
      </c>
      <c r="P767" s="1593">
        <v>3.1384301295287602</v>
      </c>
      <c r="Q767" s="2494">
        <v>3.2523225264195998</v>
      </c>
      <c r="R767" s="650">
        <v>4.5260655418921596</v>
      </c>
      <c r="S767" s="835">
        <v>4.5947334368265498</v>
      </c>
      <c r="T767" s="794">
        <v>4.50735895217211</v>
      </c>
    </row>
    <row r="768" spans="1:20">
      <c r="A768" t="s">
        <v>2369</v>
      </c>
      <c r="B768" s="6" t="str">
        <f>HYPERLINK("http://www.ncbi.nlm.nih.gov/gene/64058", "64058")</f>
        <v>64058</v>
      </c>
      <c r="C768" s="6" t="str">
        <f>HYPERLINK("http://www.ncbi.nlm.nih.gov/gene/64065", "64065")</f>
        <v>64065</v>
      </c>
      <c r="D768" t="str">
        <f>"Perp"</f>
        <v>Perp</v>
      </c>
      <c r="E768" t="s">
        <v>2370</v>
      </c>
      <c r="F768" t="s">
        <v>2371</v>
      </c>
      <c r="G768" t="s">
        <v>403</v>
      </c>
      <c r="H768" s="519">
        <v>5</v>
      </c>
      <c r="I768" s="69">
        <v>5.4478371258373404</v>
      </c>
      <c r="J768" s="300">
        <v>5.6183961501828996</v>
      </c>
      <c r="K768" s="126">
        <v>5.3388151351785904</v>
      </c>
      <c r="L768" s="2475">
        <v>6.9372002180614496</v>
      </c>
      <c r="M768" s="815">
        <v>6.9201817397676999</v>
      </c>
      <c r="N768" s="919">
        <v>6.4949819334059704</v>
      </c>
      <c r="O768" s="1012">
        <v>5.1125027819967697</v>
      </c>
      <c r="P768" s="1073">
        <v>4.8762175883709604</v>
      </c>
      <c r="Q768" s="2075">
        <v>4.8715189140876003</v>
      </c>
      <c r="R768" s="572">
        <v>5.1383532102574296</v>
      </c>
      <c r="S768" s="550">
        <v>5.4461761400894604</v>
      </c>
      <c r="T768" s="1408">
        <v>5.1345819561501003</v>
      </c>
    </row>
    <row r="769" spans="1:20">
      <c r="A769" t="s">
        <v>2372</v>
      </c>
      <c r="B769" s="6" t="str">
        <f>HYPERLINK("http://www.ncbi.nlm.nih.gov/gene/23886", "23886")</f>
        <v>23886</v>
      </c>
      <c r="C769" s="6" t="str">
        <f>HYPERLINK("http://www.ncbi.nlm.nih.gov/gene/9518", "9518")</f>
        <v>9518</v>
      </c>
      <c r="D769" t="str">
        <f>"Gdf15"</f>
        <v>Gdf15</v>
      </c>
      <c r="E769" t="s">
        <v>2373</v>
      </c>
      <c r="F769" t="s">
        <v>2374</v>
      </c>
      <c r="H769" s="519">
        <v>5</v>
      </c>
      <c r="I769" s="69">
        <v>4.1671799618001</v>
      </c>
      <c r="J769" s="231">
        <v>4.39941129990049</v>
      </c>
      <c r="K769" s="38">
        <v>4.3458766567097404</v>
      </c>
      <c r="L769" s="2495">
        <v>7.0282002349773904</v>
      </c>
      <c r="M769" s="571">
        <v>6.4189162377694302</v>
      </c>
      <c r="N769" s="707">
        <v>6.5597268711348802</v>
      </c>
      <c r="O769" s="1091">
        <v>3.4052682037410502</v>
      </c>
      <c r="P769" s="1550">
        <v>2.92371321168471</v>
      </c>
      <c r="Q769" s="2496">
        <v>3.21942080947484</v>
      </c>
      <c r="R769" s="592">
        <v>3.7707800686185</v>
      </c>
      <c r="S769" s="662">
        <v>3.6461228843420401</v>
      </c>
      <c r="T769" s="660">
        <v>3.7701337232761101</v>
      </c>
    </row>
    <row r="770" spans="1:20">
      <c r="A770" t="s">
        <v>2375</v>
      </c>
      <c r="B770" s="6" t="str">
        <f>HYPERLINK("http://www.ncbi.nlm.nih.gov/gene/232345", "232345")</f>
        <v>232345</v>
      </c>
      <c r="C770" s="6" t="str">
        <f>HYPERLINK("http://www.ncbi.nlm.nih.gov/gene/2", "2")</f>
        <v>2</v>
      </c>
      <c r="D770" t="str">
        <f>"A2m"</f>
        <v>A2m</v>
      </c>
      <c r="E770" t="s">
        <v>2376</v>
      </c>
      <c r="F770" t="s">
        <v>2377</v>
      </c>
      <c r="G770" t="s">
        <v>1487</v>
      </c>
      <c r="H770" s="519">
        <v>5</v>
      </c>
      <c r="I770" s="147">
        <v>5.4964643578740198</v>
      </c>
      <c r="J770" s="247">
        <v>5.4587230270392499</v>
      </c>
      <c r="K770" s="31">
        <v>5.43053655498385</v>
      </c>
      <c r="L770" s="2443">
        <v>7.3894673971364604</v>
      </c>
      <c r="M770" s="837">
        <v>7.2293527019891197</v>
      </c>
      <c r="N770" s="570">
        <v>7.2757257885102602</v>
      </c>
      <c r="O770" s="1440">
        <v>4.19424377008042</v>
      </c>
      <c r="P770" s="1342">
        <v>4.2887620372803896</v>
      </c>
      <c r="Q770" s="2330">
        <v>4.3717479868305604</v>
      </c>
      <c r="R770" s="712">
        <v>4.8390430816023402</v>
      </c>
      <c r="S770" s="1228">
        <v>5.3228072587367299</v>
      </c>
      <c r="T770" s="857">
        <v>4.7780972182874502</v>
      </c>
    </row>
    <row r="771" spans="1:20">
      <c r="A771" t="s">
        <v>2378</v>
      </c>
      <c r="B771" s="6" t="str">
        <f>HYPERLINK("http://www.ncbi.nlm.nih.gov/gene/107895", "107895")</f>
        <v>107895</v>
      </c>
      <c r="C771" s="6" t="str">
        <f>HYPERLINK("http://www.ncbi.nlm.nih.gov/gene/4249", "4249")</f>
        <v>4249</v>
      </c>
      <c r="D771" t="str">
        <f>"Mgat5"</f>
        <v>Mgat5</v>
      </c>
      <c r="E771" t="s">
        <v>2379</v>
      </c>
      <c r="F771" t="s">
        <v>2380</v>
      </c>
      <c r="G771" t="s">
        <v>973</v>
      </c>
      <c r="H771" s="519">
        <v>5</v>
      </c>
      <c r="I771" s="230">
        <v>6.4846001693866899</v>
      </c>
      <c r="J771" s="47">
        <v>6.0487725624728501</v>
      </c>
      <c r="K771" s="187">
        <v>6.2166880241560101</v>
      </c>
      <c r="L771" s="2472">
        <v>7.3713794365740597</v>
      </c>
      <c r="M771" s="661">
        <v>7.46354601616971</v>
      </c>
      <c r="N771" s="811">
        <v>7.43994547706742</v>
      </c>
      <c r="O771" s="1595">
        <v>5.6300653507898</v>
      </c>
      <c r="P771" s="1591">
        <v>5.4880779521387399</v>
      </c>
      <c r="Q771" s="2312">
        <v>5.5367173568006498</v>
      </c>
      <c r="R771" s="699">
        <v>6.0753802417911702</v>
      </c>
      <c r="S771" s="695">
        <v>6.1484461406762003</v>
      </c>
      <c r="T771" s="1437">
        <v>5.9718123799722402</v>
      </c>
    </row>
    <row r="772" spans="1:20">
      <c r="A772" t="s">
        <v>2381</v>
      </c>
      <c r="B772" s="6" t="str">
        <f>HYPERLINK("http://www.ncbi.nlm.nih.gov/gene/50798", "50798")</f>
        <v>50798</v>
      </c>
      <c r="C772" s="6" t="str">
        <f>HYPERLINK("http://www.ncbi.nlm.nih.gov/gene/10020", "10020")</f>
        <v>10020</v>
      </c>
      <c r="D772" t="str">
        <f>"Gne"</f>
        <v>Gne</v>
      </c>
      <c r="E772" t="s">
        <v>2382</v>
      </c>
      <c r="F772" t="s">
        <v>2386</v>
      </c>
      <c r="G772" t="s">
        <v>2387</v>
      </c>
      <c r="H772" s="519">
        <v>5</v>
      </c>
      <c r="I772" s="82">
        <v>6.1754698731811697</v>
      </c>
      <c r="J772" s="68">
        <v>5.7579206716348903</v>
      </c>
      <c r="K772" s="146">
        <v>5.8975705855254201</v>
      </c>
      <c r="L772" s="2472">
        <v>7.5135682384751004</v>
      </c>
      <c r="M772" s="582">
        <v>7.67897927114951</v>
      </c>
      <c r="N772" s="617">
        <v>7.7228859858793699</v>
      </c>
      <c r="O772" s="1072">
        <v>5.4281877999821404</v>
      </c>
      <c r="P772" s="997">
        <v>5.4067854000980198</v>
      </c>
      <c r="Q772" s="2045">
        <v>5.1917504709649203</v>
      </c>
      <c r="R772" s="1291">
        <v>5.8973479246642997</v>
      </c>
      <c r="S772" s="1006">
        <v>5.8135320814270601</v>
      </c>
      <c r="T772" s="580">
        <v>5.8158926220669001</v>
      </c>
    </row>
    <row r="773" spans="1:20">
      <c r="A773" t="s">
        <v>2388</v>
      </c>
      <c r="B773" s="6" t="str">
        <f>HYPERLINK("http://www.ncbi.nlm.nih.gov/gene/26903", "26903")</f>
        <v>26903</v>
      </c>
      <c r="C773" s="6" t="str">
        <f>HYPERLINK("http://www.ncbi.nlm.nih.gov/gene/8291", "8291")</f>
        <v>8291</v>
      </c>
      <c r="D773" t="str">
        <f>"Dysf"</f>
        <v>Dysf</v>
      </c>
      <c r="E773" t="s">
        <v>2389</v>
      </c>
      <c r="F773" t="s">
        <v>2390</v>
      </c>
      <c r="H773" s="519">
        <v>5</v>
      </c>
      <c r="I773" s="308">
        <v>4.3042964394032603</v>
      </c>
      <c r="J773" s="262">
        <v>4.07734943967926</v>
      </c>
      <c r="K773" s="32">
        <v>4.0093843722521703</v>
      </c>
      <c r="L773" s="2445">
        <v>5.2121449447510404</v>
      </c>
      <c r="M773" s="787">
        <v>5.2954353535944696</v>
      </c>
      <c r="N773" s="823">
        <v>5.0275582240185201</v>
      </c>
      <c r="O773" s="1596">
        <v>3.5436174846799999</v>
      </c>
      <c r="P773" s="1010">
        <v>3.49721776182805</v>
      </c>
      <c r="Q773" s="2312">
        <v>3.5052790010804</v>
      </c>
      <c r="R773" s="720">
        <v>4.2358035012193698</v>
      </c>
      <c r="S773" s="712">
        <v>3.8401783238725802</v>
      </c>
      <c r="T773" s="673">
        <v>3.9172968895728499</v>
      </c>
    </row>
    <row r="774" spans="1:20">
      <c r="A774" t="s">
        <v>2391</v>
      </c>
      <c r="B774" s="6" t="str">
        <f>HYPERLINK("http://www.ncbi.nlm.nih.gov/gene/16190", "16190")</f>
        <v>16190</v>
      </c>
      <c r="C774" s="6" t="str">
        <f>HYPERLINK("http://www.ncbi.nlm.nih.gov/gene/3566", "3566")</f>
        <v>3566</v>
      </c>
      <c r="D774" t="str">
        <f>"Il4ra"</f>
        <v>Il4ra</v>
      </c>
      <c r="E774" t="s">
        <v>2392</v>
      </c>
      <c r="F774" t="s">
        <v>2393</v>
      </c>
      <c r="G774" t="s">
        <v>2407</v>
      </c>
      <c r="H774" s="519">
        <v>5</v>
      </c>
      <c r="I774" s="187">
        <v>4.6100813799838898</v>
      </c>
      <c r="J774" s="202">
        <v>4.5184638012175604</v>
      </c>
      <c r="K774" s="125">
        <v>4.4771767918887297</v>
      </c>
      <c r="L774" s="2424">
        <v>6.4679038309752199</v>
      </c>
      <c r="M774" s="564">
        <v>6.5236541573549003</v>
      </c>
      <c r="N774" s="639">
        <v>6.0798603487172898</v>
      </c>
      <c r="O774" s="1570">
        <v>3.6028634908208499</v>
      </c>
      <c r="P774" s="1017">
        <v>3.54960277300468</v>
      </c>
      <c r="Q774" s="2064">
        <v>4.1827279738094498</v>
      </c>
      <c r="R774" s="629">
        <v>4.4528205682563504</v>
      </c>
      <c r="S774" s="627">
        <v>4.3834011957140904</v>
      </c>
      <c r="T774" s="1436">
        <v>4.2350397411123097</v>
      </c>
    </row>
    <row r="775" spans="1:20">
      <c r="A775" t="s">
        <v>2408</v>
      </c>
      <c r="B775" s="6" t="str">
        <f>HYPERLINK("http://www.ncbi.nlm.nih.gov/gene/223649", "223649")</f>
        <v>223649</v>
      </c>
      <c r="C775" s="6" t="str">
        <f>HYPERLINK("http://www.ncbi.nlm.nih.gov/gene/", "")</f>
        <v/>
      </c>
      <c r="D775" t="str">
        <f>"Nrbp2"</f>
        <v>Nrbp2</v>
      </c>
      <c r="E775" t="s">
        <v>2409</v>
      </c>
      <c r="F775" t="s">
        <v>2410</v>
      </c>
      <c r="H775" s="519">
        <v>5</v>
      </c>
      <c r="I775" s="70">
        <v>7.0238089552656202</v>
      </c>
      <c r="J775" s="44">
        <v>6.96613901217939</v>
      </c>
      <c r="K775" s="169">
        <v>7.10036883734755</v>
      </c>
      <c r="L775" s="2408">
        <v>8.1356930345384892</v>
      </c>
      <c r="M775" s="564">
        <v>8.2792252273890092</v>
      </c>
      <c r="N775" s="718">
        <v>8.1125924030032994</v>
      </c>
      <c r="O775" s="1146">
        <v>6.4193700068932102</v>
      </c>
      <c r="P775" s="1332">
        <v>6.6144208632027102</v>
      </c>
      <c r="Q775" s="2329">
        <v>6.6495650896084504</v>
      </c>
      <c r="R775" s="595">
        <v>6.9362254469496403</v>
      </c>
      <c r="S775" s="699">
        <v>6.9826248614658697</v>
      </c>
      <c r="T775" s="1516">
        <v>7.17847674083486</v>
      </c>
    </row>
    <row r="776" spans="1:20">
      <c r="A776" t="s">
        <v>2411</v>
      </c>
      <c r="B776" s="6" t="str">
        <f>HYPERLINK("http://www.ncbi.nlm.nih.gov/gene/16525", "16525")</f>
        <v>16525</v>
      </c>
      <c r="C776" s="6" t="str">
        <f>HYPERLINK("http://www.ncbi.nlm.nih.gov/gene/3775", "3775")</f>
        <v>3775</v>
      </c>
      <c r="D776" t="str">
        <f>"Kcnk1"</f>
        <v>Kcnk1</v>
      </c>
      <c r="E776" t="s">
        <v>2412</v>
      </c>
      <c r="F776" t="s">
        <v>2413</v>
      </c>
      <c r="H776" s="519">
        <v>5</v>
      </c>
      <c r="I776" s="169">
        <v>6.3866956611069199</v>
      </c>
      <c r="J776" s="52">
        <v>6.1899559123514898</v>
      </c>
      <c r="K776" s="38">
        <v>6.4639248698568004</v>
      </c>
      <c r="L776" s="2478">
        <v>8.5968264494456008</v>
      </c>
      <c r="M776" s="725">
        <v>8.6363225506947092</v>
      </c>
      <c r="N776" s="707">
        <v>8.4963508357974593</v>
      </c>
      <c r="O776" s="1440">
        <v>5.1561440492528199</v>
      </c>
      <c r="P776" s="722">
        <v>5.1571218146812798</v>
      </c>
      <c r="Q776" s="2477">
        <v>5.4608437223353601</v>
      </c>
      <c r="R776" s="669">
        <v>6.0231731151316596</v>
      </c>
      <c r="S776" s="670">
        <v>6.2219251140668499</v>
      </c>
      <c r="T776" s="534">
        <v>6.2849716139281</v>
      </c>
    </row>
    <row r="777" spans="1:20">
      <c r="A777" t="s">
        <v>2414</v>
      </c>
      <c r="B777" s="6" t="str">
        <f>HYPERLINK("http://www.ncbi.nlm.nih.gov/gene/53412", "53412")</f>
        <v>53412</v>
      </c>
      <c r="C777" s="6" t="str">
        <f>HYPERLINK("http://www.ncbi.nlm.nih.gov/gene/5507", "5507")</f>
        <v>5507</v>
      </c>
      <c r="D777" t="str">
        <f>"Ppp1r3c"</f>
        <v>Ppp1r3c</v>
      </c>
      <c r="E777" t="s">
        <v>2415</v>
      </c>
      <c r="F777" t="s">
        <v>2394</v>
      </c>
      <c r="G777" t="s">
        <v>2395</v>
      </c>
      <c r="H777" s="519">
        <v>5</v>
      </c>
      <c r="I777" s="345">
        <v>6.6024882576798598</v>
      </c>
      <c r="J777" s="42">
        <v>6.5251218401131297</v>
      </c>
      <c r="K777" s="163">
        <v>6.9029576638008896</v>
      </c>
      <c r="L777" s="2408">
        <v>8.0860507567838393</v>
      </c>
      <c r="M777" s="811">
        <v>8.1331763677930695</v>
      </c>
      <c r="N777" s="607">
        <v>8.1489340881273993</v>
      </c>
      <c r="O777" s="1597">
        <v>5.69512059374002</v>
      </c>
      <c r="P777" s="1364">
        <v>5.77519169462101</v>
      </c>
      <c r="Q777" s="2316">
        <v>5.8977475411954101</v>
      </c>
      <c r="R777" s="579">
        <v>6.2850405911875198</v>
      </c>
      <c r="S777" s="655">
        <v>6.4216711149378902</v>
      </c>
      <c r="T777" s="615">
        <v>6.4513201206569004</v>
      </c>
    </row>
    <row r="778" spans="1:20">
      <c r="A778" t="s">
        <v>2396</v>
      </c>
      <c r="B778" s="6" t="str">
        <f>HYPERLINK("http://www.ncbi.nlm.nih.gov/gene/338367", "338367")</f>
        <v>338367</v>
      </c>
      <c r="C778" s="6" t="str">
        <f>HYPERLINK("http://www.ncbi.nlm.nih.gov/gene/4642", "4642")</f>
        <v>4642</v>
      </c>
      <c r="D778" t="str">
        <f>"Myo1d"</f>
        <v>Myo1d</v>
      </c>
      <c r="E778" t="s">
        <v>2397</v>
      </c>
      <c r="F778" t="s">
        <v>2398</v>
      </c>
      <c r="H778" s="519">
        <v>5</v>
      </c>
      <c r="I778" s="425">
        <v>6.6047105825580097</v>
      </c>
      <c r="J778" s="76">
        <v>6.3175688630657998</v>
      </c>
      <c r="K778" s="300">
        <v>6.2765224606655901</v>
      </c>
      <c r="L778" s="2408">
        <v>7.6174929701448102</v>
      </c>
      <c r="M778" s="745">
        <v>7.5840568926210903</v>
      </c>
      <c r="N778" s="837">
        <v>7.6033614964074898</v>
      </c>
      <c r="O778" s="1086">
        <v>5.4458469958820297</v>
      </c>
      <c r="P778" s="863">
        <v>5.1832347721446297</v>
      </c>
      <c r="Q778" s="2454">
        <v>5.2417783682601096</v>
      </c>
      <c r="R778" s="594">
        <v>5.8293591401717197</v>
      </c>
      <c r="S778" s="669">
        <v>5.8641099932016498</v>
      </c>
      <c r="T778" s="545">
        <v>5.6454957706155797</v>
      </c>
    </row>
    <row r="779" spans="1:20">
      <c r="A779" t="s">
        <v>2399</v>
      </c>
      <c r="B779" s="6" t="str">
        <f>HYPERLINK("http://www.ncbi.nlm.nih.gov/gene/68337", "68337")</f>
        <v>68337</v>
      </c>
      <c r="C779" s="6" t="str">
        <f>HYPERLINK("http://www.ncbi.nlm.nih.gov/gene/", "")</f>
        <v/>
      </c>
      <c r="D779" t="str">
        <f>"Crip2"</f>
        <v>Crip2</v>
      </c>
      <c r="E779" t="s">
        <v>2419</v>
      </c>
      <c r="F779" t="s">
        <v>2420</v>
      </c>
      <c r="H779" s="519">
        <v>5</v>
      </c>
      <c r="I779" s="282">
        <v>7.6623871243763704</v>
      </c>
      <c r="J779" s="425">
        <v>7.7127669258915699</v>
      </c>
      <c r="K779" s="283">
        <v>7.6046112370505199</v>
      </c>
      <c r="L779" s="2434">
        <v>9.0363410468675394</v>
      </c>
      <c r="M779" s="761">
        <v>8.8441028932807892</v>
      </c>
      <c r="N779" s="762">
        <v>8.9291665100176694</v>
      </c>
      <c r="O779" s="1598">
        <v>6.2717837074556</v>
      </c>
      <c r="P779" s="1448">
        <v>5.8634852945407401</v>
      </c>
      <c r="Q779" s="2124">
        <v>5.7521815392983102</v>
      </c>
      <c r="R779" s="1081">
        <v>6.4911264065673997</v>
      </c>
      <c r="S779" s="734">
        <v>6.4735123531960301</v>
      </c>
      <c r="T779" s="601">
        <v>6.5282811434289103</v>
      </c>
    </row>
    <row r="780" spans="1:20">
      <c r="A780" t="s">
        <v>2421</v>
      </c>
      <c r="B780" s="6" t="str">
        <f>HYPERLINK("http://www.ncbi.nlm.nih.gov/gene/11565", "11565")</f>
        <v>11565</v>
      </c>
      <c r="C780" s="6" t="str">
        <f>HYPERLINK("http://www.ncbi.nlm.nih.gov/gene/122622", "122622")</f>
        <v>122622</v>
      </c>
      <c r="D780" t="str">
        <f>"Adssl1"</f>
        <v>Adssl1</v>
      </c>
      <c r="E780" t="s">
        <v>2422</v>
      </c>
      <c r="F780" t="s">
        <v>2400</v>
      </c>
      <c r="G780" t="s">
        <v>2401</v>
      </c>
      <c r="H780" s="519">
        <v>5</v>
      </c>
      <c r="I780" s="427">
        <v>4.9899441403052203</v>
      </c>
      <c r="J780" s="351">
        <v>5.0217908388056003</v>
      </c>
      <c r="K780" s="476">
        <v>5.1746599421038999</v>
      </c>
      <c r="L780" s="2407">
        <v>6.2008582233788196</v>
      </c>
      <c r="M780" s="607">
        <v>6.3503609364317404</v>
      </c>
      <c r="N780" s="1041">
        <v>6.2359864523240303</v>
      </c>
      <c r="O780" s="1599">
        <v>3.8784055572422602</v>
      </c>
      <c r="P780" s="1323">
        <v>3.8348570655388201</v>
      </c>
      <c r="Q780" s="2497">
        <v>4.1504145184914698</v>
      </c>
      <c r="R780" s="578">
        <v>3.9893893718231399</v>
      </c>
      <c r="S780" s="592">
        <v>4.4216361878111199</v>
      </c>
      <c r="T780" s="588">
        <v>4.4574588544327103</v>
      </c>
    </row>
    <row r="781" spans="1:20">
      <c r="A781" t="s">
        <v>2402</v>
      </c>
      <c r="B781" s="6" t="str">
        <f>HYPERLINK("http://www.ncbi.nlm.nih.gov/gene/14404", "14404")</f>
        <v>14404</v>
      </c>
      <c r="C781" s="6" t="str">
        <f>HYPERLINK("http://www.ncbi.nlm.nih.gov/gene/", "")</f>
        <v/>
      </c>
      <c r="D781" t="str">
        <f>"Gabre"</f>
        <v>Gabre</v>
      </c>
      <c r="E781" t="s">
        <v>2403</v>
      </c>
      <c r="F781" t="s">
        <v>2404</v>
      </c>
      <c r="G781" t="s">
        <v>106</v>
      </c>
      <c r="H781" s="519">
        <v>5</v>
      </c>
      <c r="I781" s="197">
        <v>6.6074888671510399</v>
      </c>
      <c r="J781" s="192">
        <v>6.3991882539094798</v>
      </c>
      <c r="K781" s="238">
        <v>6.5526246695493002</v>
      </c>
      <c r="L781" s="2431">
        <v>7.9967562385604696</v>
      </c>
      <c r="M781" s="697">
        <v>7.9757498007602399</v>
      </c>
      <c r="N781" s="565">
        <v>8.0855068183511403</v>
      </c>
      <c r="O781" s="1046">
        <v>5.9386027815085196</v>
      </c>
      <c r="P781" s="987">
        <v>5.5143611858383004</v>
      </c>
      <c r="Q781" s="2496">
        <v>5.6433869980406204</v>
      </c>
      <c r="R781" s="859">
        <v>5.71742522871223</v>
      </c>
      <c r="S781" s="992">
        <v>5.6879824649510899</v>
      </c>
      <c r="T781" s="1437">
        <v>6.0394485529696702</v>
      </c>
    </row>
    <row r="782" spans="1:20">
      <c r="A782" t="s">
        <v>2405</v>
      </c>
      <c r="B782" s="6" t="str">
        <f>HYPERLINK("http://www.ncbi.nlm.nih.gov/gene/14961", "14961")</f>
        <v>14961</v>
      </c>
      <c r="C782" s="6" t="str">
        <f>HYPERLINK("http://www.ncbi.nlm.nih.gov/gene/3119", "3119")</f>
        <v>3119</v>
      </c>
      <c r="D782" t="str">
        <f>"H2-Ab1"</f>
        <v>H2-Ab1</v>
      </c>
      <c r="E782" t="s">
        <v>2406</v>
      </c>
      <c r="F782" t="s">
        <v>2416</v>
      </c>
      <c r="G782" t="s">
        <v>2198</v>
      </c>
      <c r="H782" s="519">
        <v>5</v>
      </c>
      <c r="I782" s="97">
        <v>6.0087542744728797</v>
      </c>
      <c r="J782" s="38">
        <v>6.0004440334544498</v>
      </c>
      <c r="K782" s="140">
        <v>6.2528538892406402</v>
      </c>
      <c r="L782" s="2459">
        <v>7.8584258157983902</v>
      </c>
      <c r="M782" s="725">
        <v>7.8384133394679898</v>
      </c>
      <c r="N782" s="745">
        <v>7.67059892832751</v>
      </c>
      <c r="O782" s="1600">
        <v>5.3340862617306</v>
      </c>
      <c r="P782" s="641">
        <v>5.2732664706785197</v>
      </c>
      <c r="Q782" s="2042">
        <v>5.1770338157162801</v>
      </c>
      <c r="R782" s="992">
        <v>5.1722396740434204</v>
      </c>
      <c r="S782" s="567">
        <v>5.1430859168848198</v>
      </c>
      <c r="T782" s="857">
        <v>5.4208859044106896</v>
      </c>
    </row>
    <row r="783" spans="1:20">
      <c r="A783" t="s">
        <v>2417</v>
      </c>
      <c r="B783" s="6" t="str">
        <f>HYPERLINK("http://www.ncbi.nlm.nih.gov/gene/381853", "381853")</f>
        <v>381853</v>
      </c>
      <c r="C783" s="6" t="str">
        <f>HYPERLINK("http://www.ncbi.nlm.nih.gov/gene/2696", "2696")</f>
        <v>2696</v>
      </c>
      <c r="D783" t="str">
        <f>"Gipr"</f>
        <v>Gipr</v>
      </c>
      <c r="E783" t="s">
        <v>2418</v>
      </c>
      <c r="F783" t="s">
        <v>2425</v>
      </c>
      <c r="G783" t="s">
        <v>106</v>
      </c>
      <c r="H783" s="519">
        <v>5</v>
      </c>
      <c r="I783" s="170">
        <v>6.1163486702171097</v>
      </c>
      <c r="J783" s="76">
        <v>6.1829114410562598</v>
      </c>
      <c r="K783" s="302">
        <v>6.3811776842498302</v>
      </c>
      <c r="L783" s="2461">
        <v>8.0559248287437093</v>
      </c>
      <c r="M783" s="777">
        <v>8.2658493928129992</v>
      </c>
      <c r="N783" s="598">
        <v>8.2402110923220402</v>
      </c>
      <c r="O783" s="1168">
        <v>5.2003093322062597</v>
      </c>
      <c r="P783" s="729">
        <v>4.8671408550880697</v>
      </c>
      <c r="Q783" s="2139">
        <v>4.9875135532679797</v>
      </c>
      <c r="R783" s="1302">
        <v>4.8163706666415402</v>
      </c>
      <c r="S783" s="859">
        <v>5.0034591240787396</v>
      </c>
      <c r="T783" s="574">
        <v>5.25633727964785</v>
      </c>
    </row>
    <row r="784" spans="1:20">
      <c r="A784" t="s">
        <v>2426</v>
      </c>
      <c r="B784" s="6" t="str">
        <f>HYPERLINK("http://www.ncbi.nlm.nih.gov/gene/723919", "723919")</f>
        <v>723919</v>
      </c>
      <c r="C784" s="6" t="str">
        <f>HYPERLINK("http://www.ncbi.nlm.nih.gov/gene/", "")</f>
        <v/>
      </c>
      <c r="D784" t="str">
        <f>"Mir452"</f>
        <v>Mir452</v>
      </c>
      <c r="E784" t="s">
        <v>2427</v>
      </c>
      <c r="H784" s="519">
        <v>5</v>
      </c>
      <c r="I784" s="262">
        <v>2.97246529123001</v>
      </c>
      <c r="J784" s="42">
        <v>2.9350428029700102</v>
      </c>
      <c r="K784" s="249">
        <v>3.3324949934072601</v>
      </c>
      <c r="L784" s="2480">
        <v>4.7244182775533599</v>
      </c>
      <c r="M784" s="1252">
        <v>4.4762383390204699</v>
      </c>
      <c r="N784" s="547">
        <v>4.8857206209412496</v>
      </c>
      <c r="O784" s="1456">
        <v>2.1212108340360998</v>
      </c>
      <c r="P784" s="1367">
        <v>2.4795635831827698</v>
      </c>
      <c r="Q784" s="2484">
        <v>2.4718331163324501</v>
      </c>
      <c r="R784" s="851">
        <v>2.61365154396541</v>
      </c>
      <c r="S784" s="859">
        <v>2.36301380084686</v>
      </c>
      <c r="T784" s="1431">
        <v>2.6125250081244999</v>
      </c>
    </row>
    <row r="785" spans="1:20">
      <c r="A785" t="s">
        <v>2428</v>
      </c>
      <c r="B785" s="6" t="str">
        <f>HYPERLINK("http://www.ncbi.nlm.nih.gov/gene/67865", "67865")</f>
        <v>67865</v>
      </c>
      <c r="C785" s="6" t="str">
        <f>HYPERLINK("http://www.ncbi.nlm.nih.gov/gene/6001", "6001")</f>
        <v>6001</v>
      </c>
      <c r="D785" t="str">
        <f>"Rgs10"</f>
        <v>Rgs10</v>
      </c>
      <c r="E785" t="s">
        <v>2429</v>
      </c>
      <c r="F785" t="s">
        <v>2430</v>
      </c>
      <c r="H785" s="519">
        <v>5</v>
      </c>
      <c r="I785" s="38">
        <v>5.2269151103019302</v>
      </c>
      <c r="J785" s="230">
        <v>5.4622838891825198</v>
      </c>
      <c r="K785" s="235">
        <v>5.3855186785258402</v>
      </c>
      <c r="L785" s="2452">
        <v>6.6400902605326797</v>
      </c>
      <c r="M785" s="777">
        <v>6.4652115854157799</v>
      </c>
      <c r="N785" s="904">
        <v>6.1113072488068996</v>
      </c>
      <c r="O785" s="985">
        <v>4.8487495409087504</v>
      </c>
      <c r="P785" s="1029">
        <v>4.6304296615946701</v>
      </c>
      <c r="Q785" s="2312">
        <v>4.4999352405682496</v>
      </c>
      <c r="R785" s="572">
        <v>4.8341036794003198</v>
      </c>
      <c r="S785" s="993">
        <v>4.7165682207433104</v>
      </c>
      <c r="T785" s="562">
        <v>4.7926441692096704</v>
      </c>
    </row>
    <row r="786" spans="1:20">
      <c r="A786" t="s">
        <v>2431</v>
      </c>
      <c r="B786" s="6" t="str">
        <f>HYPERLINK("http://www.ncbi.nlm.nih.gov/gene/50782", "50782")</f>
        <v>50782</v>
      </c>
      <c r="C786" s="6" t="str">
        <f>HYPERLINK("http://www.ncbi.nlm.nih.gov/gene/8786", "8786")</f>
        <v>8786</v>
      </c>
      <c r="D786" t="str">
        <f>"Rgs11"</f>
        <v>Rgs11</v>
      </c>
      <c r="E786" t="s">
        <v>2432</v>
      </c>
      <c r="F786" t="s">
        <v>2433</v>
      </c>
      <c r="H786" s="519">
        <v>5</v>
      </c>
      <c r="I786" s="36">
        <v>3.99818138477058</v>
      </c>
      <c r="J786" s="185">
        <v>4.3921753975330802</v>
      </c>
      <c r="K786" s="476">
        <v>4.5191014234217297</v>
      </c>
      <c r="L786" s="2412">
        <v>5.3197159012787703</v>
      </c>
      <c r="M786" s="541">
        <v>5.6104842026120902</v>
      </c>
      <c r="N786" s="714">
        <v>5.1690743489398701</v>
      </c>
      <c r="O786" s="1200">
        <v>3.8483792993841202</v>
      </c>
      <c r="P786" s="712">
        <v>3.9110855312648201</v>
      </c>
      <c r="Q786" s="2143">
        <v>3.5061966641478102</v>
      </c>
      <c r="R786" s="891">
        <v>3.8753110008854201</v>
      </c>
      <c r="S786" s="1336">
        <v>3.6421207564312601</v>
      </c>
      <c r="T786" s="1431">
        <v>3.9073255565170699</v>
      </c>
    </row>
    <row r="787" spans="1:20">
      <c r="A787" t="s">
        <v>2434</v>
      </c>
      <c r="B787" s="6" t="str">
        <f>HYPERLINK("http://www.ncbi.nlm.nih.gov/gene/77974", "77974")</f>
        <v>77974</v>
      </c>
      <c r="C787" s="6" t="str">
        <f>HYPERLINK("http://www.ncbi.nlm.nih.gov/gene/145226", "145226")</f>
        <v>145226</v>
      </c>
      <c r="D787" t="str">
        <f>"Rdh12"</f>
        <v>Rdh12</v>
      </c>
      <c r="E787" t="s">
        <v>2435</v>
      </c>
      <c r="F787" t="s">
        <v>2441</v>
      </c>
      <c r="G787" t="s">
        <v>980</v>
      </c>
      <c r="H787" s="519">
        <v>5</v>
      </c>
      <c r="I787" s="96">
        <v>3.2397536718358699</v>
      </c>
      <c r="J787" s="28">
        <v>3.1888184478480701</v>
      </c>
      <c r="K787" s="25">
        <v>3.1317263739062402</v>
      </c>
      <c r="L787" s="2498">
        <v>4.3092023560673303</v>
      </c>
      <c r="M787" s="777">
        <v>4.8376784371956099</v>
      </c>
      <c r="N787" s="526">
        <v>5.3336349387564903</v>
      </c>
      <c r="O787" s="1097">
        <v>3.33411098957236</v>
      </c>
      <c r="P787" s="851">
        <v>3.13213383297659</v>
      </c>
      <c r="Q787" s="2103">
        <v>3.4064820244827398</v>
      </c>
      <c r="R787" s="688">
        <v>3.0137253079375199</v>
      </c>
      <c r="S787" s="663">
        <v>3.0718147027987599</v>
      </c>
      <c r="T787" s="709">
        <v>2.95716469554467</v>
      </c>
    </row>
    <row r="788" spans="1:20">
      <c r="A788" t="s">
        <v>2442</v>
      </c>
      <c r="B788" s="6" t="str">
        <f>HYPERLINK("http://www.ncbi.nlm.nih.gov/gene/243634", "243634")</f>
        <v>243634</v>
      </c>
      <c r="C788" s="6" t="str">
        <f>HYPERLINK("http://www.ncbi.nlm.nih.gov/gene/57101", "57101")</f>
        <v>57101</v>
      </c>
      <c r="D788" t="str">
        <f>"Ano2"</f>
        <v>Ano2</v>
      </c>
      <c r="E788" t="s">
        <v>2443</v>
      </c>
      <c r="F788" t="s">
        <v>2444</v>
      </c>
      <c r="H788" s="519">
        <v>5</v>
      </c>
      <c r="I788" s="125">
        <v>3.45835069485803</v>
      </c>
      <c r="J788" s="156">
        <v>3.2266302766971799</v>
      </c>
      <c r="K788" s="165">
        <v>3.0961213958385798</v>
      </c>
      <c r="L788" s="2499">
        <v>4.38403302382428</v>
      </c>
      <c r="M788" s="547">
        <v>4.7825886091251402</v>
      </c>
      <c r="N788" s="2473">
        <v>4.8918351229322896</v>
      </c>
      <c r="O788" s="1034">
        <v>3.3658462765683002</v>
      </c>
      <c r="P788" s="1081">
        <v>3.2130182845682902</v>
      </c>
      <c r="Q788" s="2225">
        <v>3.4236290738030899</v>
      </c>
      <c r="R788" s="543">
        <v>3.3785174873075801</v>
      </c>
      <c r="S788" s="662">
        <v>3.2491386231640398</v>
      </c>
      <c r="T788" s="879">
        <v>3.1439171957664001</v>
      </c>
    </row>
    <row r="789" spans="1:20">
      <c r="A789" t="s">
        <v>2445</v>
      </c>
      <c r="B789" s="6" t="str">
        <f>HYPERLINK("http://www.ncbi.nlm.nih.gov/gene/207683", "207683")</f>
        <v>207683</v>
      </c>
      <c r="C789" s="6" t="str">
        <f>HYPERLINK("http://www.ncbi.nlm.nih.gov/gene/152404", "152404")</f>
        <v>152404</v>
      </c>
      <c r="D789" t="str">
        <f>"Igsf11"</f>
        <v>Igsf11</v>
      </c>
      <c r="E789" t="s">
        <v>2446</v>
      </c>
      <c r="F789" t="s">
        <v>2447</v>
      </c>
      <c r="H789" s="519">
        <v>5</v>
      </c>
      <c r="I789" s="81">
        <v>5.0866389748801</v>
      </c>
      <c r="J789" s="114">
        <v>5.1383909661152902</v>
      </c>
      <c r="K789" s="248">
        <v>4.9768685192455102</v>
      </c>
      <c r="L789" s="2500">
        <v>6.2606526218444403</v>
      </c>
      <c r="M789" s="644">
        <v>6.4528744409766796</v>
      </c>
      <c r="N789" s="526">
        <v>6.8369482222903102</v>
      </c>
      <c r="O789" s="1601">
        <v>5.6675320792278798</v>
      </c>
      <c r="P789" s="669">
        <v>5.2686342377562401</v>
      </c>
      <c r="Q789" s="2192">
        <v>5.5428651683028098</v>
      </c>
      <c r="R789" s="554">
        <v>5.2051720126090002</v>
      </c>
      <c r="S789" s="573">
        <v>5.1094756613747396</v>
      </c>
      <c r="T789" s="1307">
        <v>5.0273369515271602</v>
      </c>
    </row>
    <row r="790" spans="1:20">
      <c r="A790" t="s">
        <v>2423</v>
      </c>
      <c r="B790" s="6" t="str">
        <f>HYPERLINK("http://www.ncbi.nlm.nih.gov/gene/13123", "13123")</f>
        <v>13123</v>
      </c>
      <c r="C790" s="6" t="str">
        <f>HYPERLINK("http://www.ncbi.nlm.nih.gov/gene/9420", "9420")</f>
        <v>9420</v>
      </c>
      <c r="D790" t="str">
        <f>"Cyp7b1"</f>
        <v>Cyp7b1</v>
      </c>
      <c r="E790" t="s">
        <v>2424</v>
      </c>
      <c r="F790" t="s">
        <v>2452</v>
      </c>
      <c r="G790" t="s">
        <v>2453</v>
      </c>
      <c r="H790" s="519">
        <v>5</v>
      </c>
      <c r="I790" s="98">
        <v>5.6793792607137101</v>
      </c>
      <c r="J790" s="210">
        <v>5.2451474842722003</v>
      </c>
      <c r="K790" s="95">
        <v>5.4612698594093603</v>
      </c>
      <c r="L790" s="2492">
        <v>7.0704948778913401</v>
      </c>
      <c r="M790" s="868">
        <v>7.3938924640846304</v>
      </c>
      <c r="N790" s="547">
        <v>7.4650419226150504</v>
      </c>
      <c r="O790" s="1399">
        <v>6.0991809106670098</v>
      </c>
      <c r="P790" s="705">
        <v>5.9890849161174504</v>
      </c>
      <c r="Q790" s="2241">
        <v>6.0843031889864596</v>
      </c>
      <c r="R790" s="1040">
        <v>5.5129314737719399</v>
      </c>
      <c r="S790" s="1006">
        <v>5.8143898485429597</v>
      </c>
      <c r="T790" s="701">
        <v>5.7167160454615003</v>
      </c>
    </row>
    <row r="791" spans="1:20">
      <c r="A791" t="s">
        <v>2454</v>
      </c>
      <c r="B791" s="6" t="str">
        <f>HYPERLINK("http://www.ncbi.nlm.nih.gov/gene/18994", "18994")</f>
        <v>18994</v>
      </c>
      <c r="C791" s="6" t="str">
        <f>HYPERLINK("http://www.ncbi.nlm.nih.gov/gene/5456", "5456")</f>
        <v>5456</v>
      </c>
      <c r="D791" t="str">
        <f>"Pou3f4"</f>
        <v>Pou3f4</v>
      </c>
      <c r="E791" t="s">
        <v>2455</v>
      </c>
      <c r="F791" t="s">
        <v>2436</v>
      </c>
      <c r="H791" s="519">
        <v>5</v>
      </c>
      <c r="I791" s="62">
        <v>4.6369237787578301</v>
      </c>
      <c r="J791" s="34">
        <v>4.3410181757969797</v>
      </c>
      <c r="K791" s="210">
        <v>3.6341346032408</v>
      </c>
      <c r="L791" s="2429">
        <v>7.5642633210199604</v>
      </c>
      <c r="M791" s="675">
        <v>7.65273763915516</v>
      </c>
      <c r="N791" s="1018">
        <v>8.3371580772407707</v>
      </c>
      <c r="O791" s="1206">
        <v>5.1016536757490796</v>
      </c>
      <c r="P791" s="550">
        <v>5.0809634805433204</v>
      </c>
      <c r="Q791" s="2083">
        <v>4.8379080992190699</v>
      </c>
      <c r="R791" s="851">
        <v>4.5601956885203503</v>
      </c>
      <c r="S791" s="627">
        <v>4.8620900601994004</v>
      </c>
      <c r="T791" s="545">
        <v>4.3670101722600796</v>
      </c>
    </row>
    <row r="792" spans="1:20">
      <c r="A792" t="s">
        <v>2437</v>
      </c>
      <c r="B792" s="6" t="str">
        <f>HYPERLINK("http://www.ncbi.nlm.nih.gov/gene/210293", "210293")</f>
        <v>210293</v>
      </c>
      <c r="C792" s="6" t="str">
        <f>HYPERLINK("http://www.ncbi.nlm.nih.gov/gene/55619", "55619")</f>
        <v>55619</v>
      </c>
      <c r="D792" t="str">
        <f>"Dock10"</f>
        <v>Dock10</v>
      </c>
      <c r="E792" t="s">
        <v>2438</v>
      </c>
      <c r="F792" t="s">
        <v>2439</v>
      </c>
      <c r="H792" s="519">
        <v>5</v>
      </c>
      <c r="I792" s="88">
        <v>4.6777134675944003</v>
      </c>
      <c r="J792" s="55">
        <v>4.8281407134687901</v>
      </c>
      <c r="K792" s="87">
        <v>4.9409171810986603</v>
      </c>
      <c r="L792" s="2478">
        <v>6.4815690845247804</v>
      </c>
      <c r="M792" s="571">
        <v>6.3398811413686698</v>
      </c>
      <c r="N792" s="541">
        <v>6.7017013997220802</v>
      </c>
      <c r="O792" s="1390">
        <v>5.1630787403712297</v>
      </c>
      <c r="P792" s="1006">
        <v>4.9394980084295996</v>
      </c>
      <c r="Q792" s="2254">
        <v>5.0694736176975104</v>
      </c>
      <c r="R792" s="1037">
        <v>4.6860615615459</v>
      </c>
      <c r="S792" s="715">
        <v>4.7713316683436897</v>
      </c>
      <c r="T792" s="1415">
        <v>4.4888407214294199</v>
      </c>
    </row>
    <row r="793" spans="1:20">
      <c r="A793" t="s">
        <v>2440</v>
      </c>
      <c r="B793" s="6" t="str">
        <f>HYPERLINK("http://www.ncbi.nlm.nih.gov/gene/18109", "18109")</f>
        <v>18109</v>
      </c>
      <c r="C793" s="6" t="str">
        <f>HYPERLINK("http://www.ncbi.nlm.nih.gov/gene/4613", "4613")</f>
        <v>4613</v>
      </c>
      <c r="D793" t="str">
        <f>"Mycn"</f>
        <v>Mycn</v>
      </c>
      <c r="E793" t="s">
        <v>2490</v>
      </c>
      <c r="F793" t="s">
        <v>2456</v>
      </c>
      <c r="H793" s="519">
        <v>5</v>
      </c>
      <c r="I793" s="304">
        <v>5.6460431315412096</v>
      </c>
      <c r="J793" s="83">
        <v>5.9210073263311402</v>
      </c>
      <c r="K793" s="70">
        <v>6.10462454999091</v>
      </c>
      <c r="L793" s="2412">
        <v>7.5123191228281998</v>
      </c>
      <c r="M793" s="718">
        <v>7.5205715738588301</v>
      </c>
      <c r="N793" s="719">
        <v>7.8380925521079199</v>
      </c>
      <c r="O793" s="1501">
        <v>6.2749845474256398</v>
      </c>
      <c r="P793" s="1326">
        <v>6.1687771523619004</v>
      </c>
      <c r="Q793" s="2254">
        <v>6.1362296223099797</v>
      </c>
      <c r="R793" s="1073">
        <v>5.5259758836735404</v>
      </c>
      <c r="S793" s="1181">
        <v>5.6997207711275202</v>
      </c>
      <c r="T793" s="1602">
        <v>5.6212008365163397</v>
      </c>
    </row>
    <row r="794" spans="1:20">
      <c r="A794" t="s">
        <v>2457</v>
      </c>
      <c r="B794" s="6" t="str">
        <f>HYPERLINK("http://www.ncbi.nlm.nih.gov/gene/70423", "70423")</f>
        <v>70423</v>
      </c>
      <c r="C794" s="6" t="str">
        <f>HYPERLINK("http://www.ncbi.nlm.nih.gov/gene/23555", "23555")</f>
        <v>23555</v>
      </c>
      <c r="D794" t="str">
        <f>"Tspan15"</f>
        <v>Tspan15</v>
      </c>
      <c r="E794" t="s">
        <v>2458</v>
      </c>
      <c r="F794" t="s">
        <v>37</v>
      </c>
      <c r="H794" s="519">
        <v>5</v>
      </c>
      <c r="I794" s="233">
        <v>4.81309819734079</v>
      </c>
      <c r="J794" s="139">
        <v>5.3611246104215802</v>
      </c>
      <c r="K794" s="74">
        <v>5.3749745622992604</v>
      </c>
      <c r="L794" s="2408">
        <v>7.3801201107954197</v>
      </c>
      <c r="M794" s="617">
        <v>7.5915134702773797</v>
      </c>
      <c r="N794" s="587">
        <v>7.5626796605112396</v>
      </c>
      <c r="O794" s="1112">
        <v>5.5870458204874902</v>
      </c>
      <c r="P794" s="906">
        <v>5.52350842974122</v>
      </c>
      <c r="Q794" s="2103">
        <v>5.58766442374192</v>
      </c>
      <c r="R794" s="1040">
        <v>4.9775825094768598</v>
      </c>
      <c r="S794" s="864">
        <v>4.9938816269264699</v>
      </c>
      <c r="T794" s="1347">
        <v>5.0846351968667198</v>
      </c>
    </row>
    <row r="795" spans="1:20">
      <c r="A795" t="s">
        <v>2459</v>
      </c>
      <c r="B795" s="6" t="str">
        <f>HYPERLINK("http://www.ncbi.nlm.nih.gov/gene/67092", "67092")</f>
        <v>67092</v>
      </c>
      <c r="C795" s="6" t="str">
        <f>HYPERLINK("http://www.ncbi.nlm.nih.gov/gene/2628", "2628")</f>
        <v>2628</v>
      </c>
      <c r="D795" t="str">
        <f>"Gatm"</f>
        <v>Gatm</v>
      </c>
      <c r="E795" t="s">
        <v>2460</v>
      </c>
      <c r="F795" t="s">
        <v>2448</v>
      </c>
      <c r="G795" t="s">
        <v>2449</v>
      </c>
      <c r="H795" s="519">
        <v>5</v>
      </c>
      <c r="I795" s="75">
        <v>2.5960500505178499</v>
      </c>
      <c r="J795" s="41">
        <v>3.0168956689587398</v>
      </c>
      <c r="K795" s="345">
        <v>3.4565157380927798</v>
      </c>
      <c r="L795" s="2492">
        <v>5.1812594564520102</v>
      </c>
      <c r="M795" s="565">
        <v>5.6464164392382896</v>
      </c>
      <c r="N795" s="591">
        <v>5.9513081055290202</v>
      </c>
      <c r="O795" s="1322">
        <v>3.43580731097054</v>
      </c>
      <c r="P795" s="609">
        <v>3.1096697309116599</v>
      </c>
      <c r="Q795" s="2165">
        <v>3.5996974411866098</v>
      </c>
      <c r="R795" s="567">
        <v>2.5681834569683399</v>
      </c>
      <c r="S795" s="1336">
        <v>2.47320675611713</v>
      </c>
      <c r="T795" s="1400">
        <v>2.7693792550171601</v>
      </c>
    </row>
    <row r="796" spans="1:20">
      <c r="A796" t="s">
        <v>2450</v>
      </c>
      <c r="B796" s="6" t="str">
        <f>HYPERLINK("http://www.ncbi.nlm.nih.gov/gene/13612", "13612")</f>
        <v>13612</v>
      </c>
      <c r="C796" s="6" t="str">
        <f>HYPERLINK("http://www.ncbi.nlm.nih.gov/gene/10085", "10085")</f>
        <v>10085</v>
      </c>
      <c r="D796" t="str">
        <f>"Edil3"</f>
        <v>Edil3</v>
      </c>
      <c r="E796" t="s">
        <v>2451</v>
      </c>
      <c r="F796" t="s">
        <v>2469</v>
      </c>
      <c r="H796" s="519">
        <v>5</v>
      </c>
      <c r="I796" s="74">
        <v>8.4542017298697694</v>
      </c>
      <c r="J796" s="68">
        <v>8.4048442368595495</v>
      </c>
      <c r="K796" s="79">
        <v>8.3445805670718407</v>
      </c>
      <c r="L796" s="2446">
        <v>10.3600995014353</v>
      </c>
      <c r="M796" s="811">
        <v>10.226202341994</v>
      </c>
      <c r="N796" s="587">
        <v>10.333109361296399</v>
      </c>
      <c r="O796" s="1104">
        <v>8.5027006035095294</v>
      </c>
      <c r="P796" s="708">
        <v>8.3176604670985892</v>
      </c>
      <c r="Q796" s="2257">
        <v>8.6000159887314105</v>
      </c>
      <c r="R796" s="1439">
        <v>7.9425984242314698</v>
      </c>
      <c r="S796" s="662">
        <v>8.3014198352658504</v>
      </c>
      <c r="T796" s="843">
        <v>8.2370191871960792</v>
      </c>
    </row>
    <row r="797" spans="1:20">
      <c r="A797" t="s">
        <v>2470</v>
      </c>
      <c r="B797" s="6" t="str">
        <f>HYPERLINK("http://www.ncbi.nlm.nih.gov/gene/269132", "269132")</f>
        <v>269132</v>
      </c>
      <c r="C797" s="6" t="str">
        <f>HYPERLINK("http://www.ncbi.nlm.nih.gov/gene/23127", "23127")</f>
        <v>23127</v>
      </c>
      <c r="D797" t="str">
        <f>"Glt25d2"</f>
        <v>Glt25d2</v>
      </c>
      <c r="E797" t="s">
        <v>2471</v>
      </c>
      <c r="F797" t="s">
        <v>2473</v>
      </c>
      <c r="G797" t="s">
        <v>2474</v>
      </c>
      <c r="H797" s="519">
        <v>5</v>
      </c>
      <c r="I797" s="36">
        <v>3.34907487710819</v>
      </c>
      <c r="J797" s="55">
        <v>3.2526139479142899</v>
      </c>
      <c r="K797" s="57">
        <v>3.3933134170689199</v>
      </c>
      <c r="L797" s="2478">
        <v>5.0819318808010996</v>
      </c>
      <c r="M797" s="804">
        <v>4.9485141838335398</v>
      </c>
      <c r="N797" s="591">
        <v>5.3345714268483801</v>
      </c>
      <c r="O797" s="1603">
        <v>3.56085518893856</v>
      </c>
      <c r="P797" s="891">
        <v>3.2001764682356399</v>
      </c>
      <c r="Q797" s="2077">
        <v>3.43202036450222</v>
      </c>
      <c r="R797" s="1302">
        <v>2.9054802286079502</v>
      </c>
      <c r="S797" s="662">
        <v>3.2216810082420899</v>
      </c>
      <c r="T797" s="1293">
        <v>3.06191857497718</v>
      </c>
    </row>
    <row r="798" spans="1:20">
      <c r="A798" t="s">
        <v>2475</v>
      </c>
      <c r="B798" s="6" t="str">
        <f>HYPERLINK("http://www.ncbi.nlm.nih.gov/gene/70127", "70127")</f>
        <v>70127</v>
      </c>
      <c r="C798" s="6" t="str">
        <f>HYPERLINK("http://www.ncbi.nlm.nih.gov/gene/8110", "8110")</f>
        <v>8110</v>
      </c>
      <c r="D798" t="str">
        <f>"Dpf3"</f>
        <v>Dpf3</v>
      </c>
      <c r="E798" t="s">
        <v>2476</v>
      </c>
      <c r="F798" t="s">
        <v>2477</v>
      </c>
      <c r="H798" s="519">
        <v>5</v>
      </c>
      <c r="I798" s="28">
        <v>5.2089425021477496</v>
      </c>
      <c r="J798" s="60">
        <v>5.0399884345104198</v>
      </c>
      <c r="K798" s="34">
        <v>5.0749248215770004</v>
      </c>
      <c r="L798" s="2459">
        <v>6.55296753604605</v>
      </c>
      <c r="M798" s="571">
        <v>6.4130346457901997</v>
      </c>
      <c r="N798" s="711">
        <v>6.6399198258243199</v>
      </c>
      <c r="O798" s="1124">
        <v>5.5666426736809997</v>
      </c>
      <c r="P798" s="594">
        <v>5.2156027596417003</v>
      </c>
      <c r="Q798" s="2087">
        <v>5.4733264192372699</v>
      </c>
      <c r="R798" s="1281">
        <v>4.9450497432975196</v>
      </c>
      <c r="S798" s="859">
        <v>5.00061070405902</v>
      </c>
      <c r="T798" s="1604">
        <v>5.14822343328209</v>
      </c>
    </row>
    <row r="799" spans="1:20">
      <c r="A799" t="s">
        <v>2478</v>
      </c>
      <c r="B799" s="6" t="str">
        <f>HYPERLINK("http://www.ncbi.nlm.nih.gov/gene/21664", "21664")</f>
        <v>21664</v>
      </c>
      <c r="C799" s="6" t="str">
        <f>HYPERLINK("http://www.ncbi.nlm.nih.gov/gene/22822", "22822")</f>
        <v>22822</v>
      </c>
      <c r="D799" t="str">
        <f>"Phlda1"</f>
        <v>Phlda1</v>
      </c>
      <c r="E799" t="s">
        <v>2479</v>
      </c>
      <c r="F799" t="s">
        <v>2480</v>
      </c>
      <c r="H799" s="519">
        <v>5</v>
      </c>
      <c r="I799" s="32">
        <v>5.4815410677851402</v>
      </c>
      <c r="J799" s="52">
        <v>5.4809253734938803</v>
      </c>
      <c r="K799" s="128">
        <v>5.3988857946993001</v>
      </c>
      <c r="L799" s="2430">
        <v>7.1715319445039301</v>
      </c>
      <c r="M799" s="707">
        <v>7.1519928564103701</v>
      </c>
      <c r="N799" s="815">
        <v>7.3936306404792003</v>
      </c>
      <c r="O799" s="1603">
        <v>5.5876594306168599</v>
      </c>
      <c r="P799" s="670">
        <v>5.4971280751593596</v>
      </c>
      <c r="Q799" s="2170">
        <v>5.4766495628382996</v>
      </c>
      <c r="R799" s="1439">
        <v>4.8429412458957897</v>
      </c>
      <c r="S799" s="1323">
        <v>4.71281003286414</v>
      </c>
      <c r="T799" s="1328">
        <v>5.0022440917577802</v>
      </c>
    </row>
    <row r="800" spans="1:20">
      <c r="A800" t="s">
        <v>2481</v>
      </c>
      <c r="B800" s="6" t="str">
        <f>HYPERLINK("http://www.ncbi.nlm.nih.gov/gene/73338", "73338")</f>
        <v>73338</v>
      </c>
      <c r="C800" s="6" t="str">
        <f>HYPERLINK("http://www.ncbi.nlm.nih.gov/gene/150771", "150771")</f>
        <v>150771</v>
      </c>
      <c r="D800" t="str">
        <f>"Itpripl1"</f>
        <v>Itpripl1</v>
      </c>
      <c r="E800" t="s">
        <v>2482</v>
      </c>
      <c r="F800" t="s">
        <v>37</v>
      </c>
      <c r="H800" s="519">
        <v>5</v>
      </c>
      <c r="I800" s="198">
        <v>6.9720028745374796</v>
      </c>
      <c r="J800" s="58">
        <v>6.8042255365232904</v>
      </c>
      <c r="K800" s="73">
        <v>6.8109913441691496</v>
      </c>
      <c r="L800" s="2461">
        <v>7.8658009717371797</v>
      </c>
      <c r="M800" s="582">
        <v>7.9634260432533797</v>
      </c>
      <c r="N800" s="1030">
        <v>8.0413042532189607</v>
      </c>
      <c r="O800" s="1209">
        <v>6.9610749596688999</v>
      </c>
      <c r="P800" s="1095">
        <v>7.0878108493404799</v>
      </c>
      <c r="Q800" s="2101">
        <v>6.9624382241791603</v>
      </c>
      <c r="R800" s="992">
        <v>6.7144908843748299</v>
      </c>
      <c r="S800" s="1181">
        <v>6.7495314663644699</v>
      </c>
      <c r="T800" s="879">
        <v>6.7635501224707699</v>
      </c>
    </row>
    <row r="801" spans="1:20">
      <c r="A801" t="s">
        <v>2483</v>
      </c>
      <c r="B801" s="6" t="str">
        <f>HYPERLINK("http://www.ncbi.nlm.nih.gov/gene/100503054", "100503054")</f>
        <v>100503054</v>
      </c>
      <c r="C801" s="6" t="str">
        <f>HYPERLINK("http://www.ncbi.nlm.nih.gov/gene/", "")</f>
        <v/>
      </c>
      <c r="D801" t="str">
        <f>"Gm19528"</f>
        <v>Gm19528</v>
      </c>
      <c r="E801" t="s">
        <v>2484</v>
      </c>
      <c r="H801" s="519">
        <v>5</v>
      </c>
      <c r="I801" s="64">
        <v>8.0429326557593708</v>
      </c>
      <c r="J801" s="128">
        <v>8.25163318982964</v>
      </c>
      <c r="K801" s="79">
        <v>8.1760655905025299</v>
      </c>
      <c r="L801" s="2408">
        <v>9.1714196991286308</v>
      </c>
      <c r="M801" s="682">
        <v>9.2732191977825895</v>
      </c>
      <c r="N801" s="755">
        <v>9.0955713079435192</v>
      </c>
      <c r="O801" s="1275">
        <v>8.5637038758562696</v>
      </c>
      <c r="P801" s="889">
        <v>8.5262427956312905</v>
      </c>
      <c r="Q801" s="2239">
        <v>8.2788153109414893</v>
      </c>
      <c r="R801" s="561">
        <v>8.0818192703384497</v>
      </c>
      <c r="S801" s="1087">
        <v>8.0099090719474493</v>
      </c>
      <c r="T801" s="1605">
        <v>7.8522124520589696</v>
      </c>
    </row>
    <row r="802" spans="1:20">
      <c r="A802" t="s">
        <v>2485</v>
      </c>
      <c r="B802" s="6" t="str">
        <f>HYPERLINK("http://www.ncbi.nlm.nih.gov/gene/121022", "121022")</f>
        <v>121022</v>
      </c>
      <c r="C802" s="6" t="str">
        <f>HYPERLINK("http://www.ncbi.nlm.nih.gov/gene/64968", "64968")</f>
        <v>64968</v>
      </c>
      <c r="D802" t="str">
        <f>"Mrps6"</f>
        <v>Mrps6</v>
      </c>
      <c r="E802" t="s">
        <v>2486</v>
      </c>
      <c r="F802" t="s">
        <v>2487</v>
      </c>
      <c r="H802" s="519">
        <v>5</v>
      </c>
      <c r="I802" s="96">
        <v>7.9857043734527204</v>
      </c>
      <c r="J802" s="72">
        <v>7.9729793022213196</v>
      </c>
      <c r="K802" s="90">
        <v>8.0464655200052597</v>
      </c>
      <c r="L802" s="2501">
        <v>9.1613524855541009</v>
      </c>
      <c r="M802" s="652">
        <v>9.1691240710614395</v>
      </c>
      <c r="N802" s="631">
        <v>8.9838916557623598</v>
      </c>
      <c r="O802" s="1399">
        <v>8.2053207554582794</v>
      </c>
      <c r="P802" s="1296">
        <v>8.1931019738047297</v>
      </c>
      <c r="Q802" s="2121">
        <v>7.9963873161853396</v>
      </c>
      <c r="R802" s="1167">
        <v>7.6339544686323402</v>
      </c>
      <c r="S802" s="859">
        <v>7.7620957008052303</v>
      </c>
      <c r="T802" s="1606">
        <v>7.6006390442596699</v>
      </c>
    </row>
    <row r="803" spans="1:20">
      <c r="A803" t="s">
        <v>2488</v>
      </c>
      <c r="B803" s="6" t="str">
        <f>HYPERLINK("http://www.ncbi.nlm.nih.gov/gene/17750", "17750")</f>
        <v>17750</v>
      </c>
      <c r="C803" s="6" t="str">
        <f>HYPERLINK("http://www.ncbi.nlm.nih.gov/gene/", "")</f>
        <v/>
      </c>
      <c r="D803" t="str">
        <f>"Mt2"</f>
        <v>Mt2</v>
      </c>
      <c r="E803" t="s">
        <v>2489</v>
      </c>
      <c r="F803" t="s">
        <v>2495</v>
      </c>
      <c r="H803" s="519">
        <v>5</v>
      </c>
      <c r="I803" s="304">
        <v>4.2573640220732196</v>
      </c>
      <c r="J803" s="130">
        <v>4.2100006469964102</v>
      </c>
      <c r="K803" s="114">
        <v>4.4205304574517097</v>
      </c>
      <c r="L803" s="2502">
        <v>6.0214374689201904</v>
      </c>
      <c r="M803" s="811">
        <v>6.3398739385527598</v>
      </c>
      <c r="N803" s="815">
        <v>6.5241832233495796</v>
      </c>
      <c r="O803" s="1239">
        <v>4.9851958941851997</v>
      </c>
      <c r="P803" s="899">
        <v>5.4920990408380597</v>
      </c>
      <c r="Q803" s="2079">
        <v>4.59534422829595</v>
      </c>
      <c r="R803" s="1073">
        <v>4.1263731809808801</v>
      </c>
      <c r="S803" s="599">
        <v>4.5977500643364104</v>
      </c>
      <c r="T803" s="730">
        <v>4.3233370684472696</v>
      </c>
    </row>
    <row r="804" spans="1:20">
      <c r="A804" t="s">
        <v>2496</v>
      </c>
      <c r="B804" s="6" t="str">
        <f>HYPERLINK("http://www.ncbi.nlm.nih.gov/gene/241230", "241230")</f>
        <v>241230</v>
      </c>
      <c r="C804" s="6" t="str">
        <f>HYPERLINK("http://www.ncbi.nlm.nih.gov/gene/338596", "338596")</f>
        <v>338596</v>
      </c>
      <c r="D804" t="str">
        <f>"St8sia6"</f>
        <v>St8sia6</v>
      </c>
      <c r="E804" t="s">
        <v>2497</v>
      </c>
      <c r="F804" t="s">
        <v>2498</v>
      </c>
      <c r="H804" s="519">
        <v>5</v>
      </c>
      <c r="I804" s="123">
        <v>2.9522960335883002</v>
      </c>
      <c r="J804" s="34">
        <v>3.0593553218696998</v>
      </c>
      <c r="K804" s="34">
        <v>3.0599957504738402</v>
      </c>
      <c r="L804" s="2405">
        <v>5.4932565420630803</v>
      </c>
      <c r="M804" s="648">
        <v>5.5976112398931104</v>
      </c>
      <c r="N804" s="1030">
        <v>6.0000909645016502</v>
      </c>
      <c r="O804" s="1607">
        <v>3.3446845214694898</v>
      </c>
      <c r="P804" s="1305">
        <v>4.3264369356278598</v>
      </c>
      <c r="Q804" s="2188">
        <v>4.0304342605485299</v>
      </c>
      <c r="R804" s="1346">
        <v>2.9984439007958898</v>
      </c>
      <c r="S804" s="1007">
        <v>2.9675063834884901</v>
      </c>
      <c r="T804" s="684">
        <v>2.8394557148868098</v>
      </c>
    </row>
    <row r="805" spans="1:20">
      <c r="A805" t="s">
        <v>2499</v>
      </c>
      <c r="B805" s="6" t="str">
        <f>HYPERLINK("http://www.ncbi.nlm.nih.gov/gene/16529", "16529")</f>
        <v>16529</v>
      </c>
      <c r="C805" s="6" t="str">
        <f>HYPERLINK("http://www.ncbi.nlm.nih.gov/gene/8645", "8645")</f>
        <v>8645</v>
      </c>
      <c r="D805" t="str">
        <f>"Kcnk5"</f>
        <v>Kcnk5</v>
      </c>
      <c r="E805" t="s">
        <v>2500</v>
      </c>
      <c r="F805" t="s">
        <v>2472</v>
      </c>
      <c r="G805" t="s">
        <v>563</v>
      </c>
      <c r="H805" s="519">
        <v>5</v>
      </c>
      <c r="I805" s="361">
        <v>3.3298769197742701</v>
      </c>
      <c r="J805" s="58">
        <v>3.8815298718409701</v>
      </c>
      <c r="K805" s="28">
        <v>4.0481202931785498</v>
      </c>
      <c r="L805" s="2428">
        <v>5.8125086559093404</v>
      </c>
      <c r="M805" s="559">
        <v>5.60758041670341</v>
      </c>
      <c r="N805" s="640">
        <v>6.0970007575622303</v>
      </c>
      <c r="O805" s="1211">
        <v>4.4392587804195198</v>
      </c>
      <c r="P805" s="726">
        <v>4.4112424709969797</v>
      </c>
      <c r="Q805" s="2503">
        <v>4.7862895412724402</v>
      </c>
      <c r="R805" s="1181">
        <v>3.78668571735796</v>
      </c>
      <c r="S805" s="712">
        <v>3.9728041120063402</v>
      </c>
      <c r="T805" s="1311">
        <v>3.6863373048394501</v>
      </c>
    </row>
    <row r="806" spans="1:20">
      <c r="A806" t="s">
        <v>2461</v>
      </c>
      <c r="B806" s="6" t="str">
        <f>HYPERLINK("http://www.ncbi.nlm.nih.gov/gene/232156", "232156")</f>
        <v>232156</v>
      </c>
      <c r="C806" s="6" t="str">
        <f>HYPERLINK("http://www.ncbi.nlm.nih.gov/gene/57835", "57835")</f>
        <v>57835</v>
      </c>
      <c r="D806" t="str">
        <f>"Slc4a5"</f>
        <v>Slc4a5</v>
      </c>
      <c r="E806" t="s">
        <v>2462</v>
      </c>
      <c r="F806" t="s">
        <v>90</v>
      </c>
      <c r="G806" t="s">
        <v>2463</v>
      </c>
      <c r="H806" s="519">
        <v>5</v>
      </c>
      <c r="I806" s="312">
        <v>3.1388989911694098</v>
      </c>
      <c r="J806" s="273">
        <v>3.4809384925265201</v>
      </c>
      <c r="K806" s="27">
        <v>3.3994353514434699</v>
      </c>
      <c r="L806" s="2461">
        <v>5.9935833509190104</v>
      </c>
      <c r="M806" s="707">
        <v>6.0628624230960702</v>
      </c>
      <c r="N806" s="587">
        <v>6.2572933766854799</v>
      </c>
      <c r="O806" s="1387">
        <v>4.4006894809303398</v>
      </c>
      <c r="P806" s="746">
        <v>4.2845583551479702</v>
      </c>
      <c r="Q806" s="2197">
        <v>4.4673162689769299</v>
      </c>
      <c r="R806" s="1167">
        <v>3.07219999951477</v>
      </c>
      <c r="S806" s="538">
        <v>3.6208927062380498</v>
      </c>
      <c r="T806" s="1408">
        <v>3.56184252379281</v>
      </c>
    </row>
    <row r="807" spans="1:20">
      <c r="A807" t="s">
        <v>2464</v>
      </c>
      <c r="B807" s="6" t="str">
        <f>HYPERLINK("http://www.ncbi.nlm.nih.gov/gene/66214", "66214")</f>
        <v>66214</v>
      </c>
      <c r="C807" s="6" t="str">
        <f>HYPERLINK("http://www.ncbi.nlm.nih.gov/gene/28984", "28984")</f>
        <v>28984</v>
      </c>
      <c r="D807" t="str">
        <f>"1190002H23Rik"</f>
        <v>1190002H23Rik</v>
      </c>
      <c r="E807" t="s">
        <v>2465</v>
      </c>
      <c r="F807" t="s">
        <v>2466</v>
      </c>
      <c r="H807" s="519">
        <v>5</v>
      </c>
      <c r="I807" s="46">
        <v>4.8835746899423</v>
      </c>
      <c r="J807" s="156">
        <v>4.9460771528911502</v>
      </c>
      <c r="K807" s="232">
        <v>4.2780934708530296</v>
      </c>
      <c r="L807" s="2504">
        <v>7.0173228833611798</v>
      </c>
      <c r="M807" s="526">
        <v>7.9051586621963601</v>
      </c>
      <c r="N807" s="631">
        <v>7.1060643513381496</v>
      </c>
      <c r="O807" s="1117">
        <v>5.0462850630331397</v>
      </c>
      <c r="P807" s="853">
        <v>5.39878430065425</v>
      </c>
      <c r="Q807" s="2103">
        <v>5.3813461564987497</v>
      </c>
      <c r="R807" s="592">
        <v>5.0854527820145803</v>
      </c>
      <c r="S807" s="1272">
        <v>5.1262143148054902</v>
      </c>
      <c r="T807" s="664">
        <v>5.3850162482447903</v>
      </c>
    </row>
    <row r="808" spans="1:20">
      <c r="A808" t="s">
        <v>2467</v>
      </c>
      <c r="B808" s="6" t="str">
        <f>HYPERLINK("http://www.ncbi.nlm.nih.gov/gene/16512", "16512")</f>
        <v>16512</v>
      </c>
      <c r="C808" s="6" t="str">
        <f>HYPERLINK("http://www.ncbi.nlm.nih.gov/gene/23416", "23416")</f>
        <v>23416</v>
      </c>
      <c r="D808" t="str">
        <f>"Kcnh3"</f>
        <v>Kcnh3</v>
      </c>
      <c r="E808" t="s">
        <v>2468</v>
      </c>
      <c r="F808" t="s">
        <v>2492</v>
      </c>
      <c r="H808" s="519">
        <v>5</v>
      </c>
      <c r="I808" s="60">
        <v>3.3455344128685902</v>
      </c>
      <c r="J808" s="25">
        <v>3.4400916902693601</v>
      </c>
      <c r="K808" s="321">
        <v>3.22262959761012</v>
      </c>
      <c r="L808" s="2418">
        <v>4.3507370242994998</v>
      </c>
      <c r="M808" s="998">
        <v>4.6208122304107899</v>
      </c>
      <c r="N808" s="652">
        <v>4.5499237149558498</v>
      </c>
      <c r="O808" s="1190">
        <v>3.4078944623068499</v>
      </c>
      <c r="P808" s="746">
        <v>3.7139074864012702</v>
      </c>
      <c r="Q808" s="2106">
        <v>3.6584074605942098</v>
      </c>
      <c r="R808" s="560">
        <v>3.5217205806989802</v>
      </c>
      <c r="S808" s="537">
        <v>3.3852812095639</v>
      </c>
      <c r="T808" s="1355">
        <v>3.44442674601994</v>
      </c>
    </row>
    <row r="809" spans="1:20">
      <c r="A809" t="s">
        <v>2493</v>
      </c>
      <c r="B809" s="6" t="str">
        <f>HYPERLINK("http://www.ncbi.nlm.nih.gov/gene/11541", "11541")</f>
        <v>11541</v>
      </c>
      <c r="C809" s="6" t="str">
        <f>HYPERLINK("http://www.ncbi.nlm.nih.gov/gene/136", "136")</f>
        <v>136</v>
      </c>
      <c r="D809" t="str">
        <f>"Adora2b"</f>
        <v>Adora2b</v>
      </c>
      <c r="E809" t="s">
        <v>2494</v>
      </c>
      <c r="F809" t="s">
        <v>2503</v>
      </c>
      <c r="G809" t="s">
        <v>123</v>
      </c>
      <c r="H809" s="519">
        <v>5</v>
      </c>
      <c r="I809" s="299">
        <v>5.0410662339885501</v>
      </c>
      <c r="J809" s="467">
        <v>5.0209677220843396</v>
      </c>
      <c r="K809" s="175">
        <v>4.9207776286674596</v>
      </c>
      <c r="L809" s="2434">
        <v>6.6337781826969602</v>
      </c>
      <c r="M809" s="811">
        <v>6.6764321940560496</v>
      </c>
      <c r="N809" s="598">
        <v>6.6895471527468198</v>
      </c>
      <c r="O809" s="1206">
        <v>5.5472997487434998</v>
      </c>
      <c r="P809" s="1065">
        <v>5.5036824507951101</v>
      </c>
      <c r="Q809" s="2086">
        <v>5.7910684076967698</v>
      </c>
      <c r="R809" s="705">
        <v>5.5619610361243597</v>
      </c>
      <c r="S809" s="712">
        <v>5.3118496902898897</v>
      </c>
      <c r="T809" s="907">
        <v>5.45262868691474</v>
      </c>
    </row>
    <row r="810" spans="1:20">
      <c r="A810" t="s">
        <v>2504</v>
      </c>
      <c r="B810" s="6" t="str">
        <f>HYPERLINK("http://www.ncbi.nlm.nih.gov/gene/241494", "241494")</f>
        <v>241494</v>
      </c>
      <c r="C810" s="6" t="str">
        <f>HYPERLINK("http://www.ncbi.nlm.nih.gov/gene/151126", "151126")</f>
        <v>151126</v>
      </c>
      <c r="D810" t="str">
        <f>"Zfp385b"</f>
        <v>Zfp385b</v>
      </c>
      <c r="E810" t="s">
        <v>2505</v>
      </c>
      <c r="F810" t="s">
        <v>2506</v>
      </c>
      <c r="H810" s="519">
        <v>5</v>
      </c>
      <c r="I810" s="212">
        <v>3.1865498899880098</v>
      </c>
      <c r="J810" s="90">
        <v>3.95308346129341</v>
      </c>
      <c r="K810" s="288">
        <v>3.1076151007336201</v>
      </c>
      <c r="L810" s="2452">
        <v>5.9919781358902302</v>
      </c>
      <c r="M810" s="756">
        <v>5.5463314524704996</v>
      </c>
      <c r="N810" s="675">
        <v>5.6545779445904696</v>
      </c>
      <c r="O810" s="1257">
        <v>3.99467310380534</v>
      </c>
      <c r="P810" s="798">
        <v>4.2944052175384</v>
      </c>
      <c r="Q810" s="2280">
        <v>3.88794103624166</v>
      </c>
      <c r="R810" s="670">
        <v>3.9819580643022001</v>
      </c>
      <c r="S810" s="549">
        <v>3.8102936179618898</v>
      </c>
      <c r="T810" s="1344">
        <v>3.6842970325588298</v>
      </c>
    </row>
    <row r="811" spans="1:20">
      <c r="A811" t="s">
        <v>2507</v>
      </c>
      <c r="B811" s="6" t="str">
        <f>HYPERLINK("http://www.ncbi.nlm.nih.gov/gene/237313", "237313")</f>
        <v>237313</v>
      </c>
      <c r="C811" s="6" t="str">
        <f>HYPERLINK("http://www.ncbi.nlm.nih.gov/gene/53832", "53832")</f>
        <v>53832</v>
      </c>
      <c r="D811" t="str">
        <f>"Il20ra"</f>
        <v>Il20ra</v>
      </c>
      <c r="E811" t="s">
        <v>2508</v>
      </c>
      <c r="F811" t="s">
        <v>37</v>
      </c>
      <c r="G811" t="s">
        <v>2529</v>
      </c>
      <c r="H811" s="519">
        <v>5</v>
      </c>
      <c r="I811" s="467">
        <v>2.8076145968961899</v>
      </c>
      <c r="J811" s="50">
        <v>3.06420436902759</v>
      </c>
      <c r="K811" s="194">
        <v>2.9653064444267399</v>
      </c>
      <c r="L811" s="2411">
        <v>4.3811729589363004</v>
      </c>
      <c r="M811" s="693">
        <v>4.2850281279625202</v>
      </c>
      <c r="N811" s="617">
        <v>4.4046984109882903</v>
      </c>
      <c r="O811" s="1051">
        <v>3.0731964009981301</v>
      </c>
      <c r="P811" s="528">
        <v>3.3705147877805399</v>
      </c>
      <c r="Q811" s="2173">
        <v>3.0396212810257102</v>
      </c>
      <c r="R811" s="649">
        <v>3.3231869816733699</v>
      </c>
      <c r="S811" s="699">
        <v>3.2092476945033899</v>
      </c>
      <c r="T811" s="1347">
        <v>2.9954647447182499</v>
      </c>
    </row>
    <row r="812" spans="1:20">
      <c r="A812" t="s">
        <v>2501</v>
      </c>
      <c r="B812" s="6" t="str">
        <f>HYPERLINK("http://www.ncbi.nlm.nih.gov/gene/18094", "18094")</f>
        <v>18094</v>
      </c>
      <c r="C812" s="6" t="str">
        <f>HYPERLINK("http://www.ncbi.nlm.nih.gov/gene/26257", "26257")</f>
        <v>26257</v>
      </c>
      <c r="D812" t="str">
        <f>"Nkx2-9"</f>
        <v>Nkx2-9</v>
      </c>
      <c r="E812" t="s">
        <v>2502</v>
      </c>
      <c r="F812" t="s">
        <v>2533</v>
      </c>
      <c r="H812" s="519">
        <v>5</v>
      </c>
      <c r="I812" s="221">
        <v>3.4965335852639701</v>
      </c>
      <c r="J812" s="231">
        <v>4.0423732550016096</v>
      </c>
      <c r="K812" s="214">
        <v>3.2739460727335099</v>
      </c>
      <c r="L812" s="2469">
        <v>5.1553450564684198</v>
      </c>
      <c r="M812" s="689">
        <v>4.9020618611616502</v>
      </c>
      <c r="N812" s="565">
        <v>5.0843207236749901</v>
      </c>
      <c r="O812" s="1225">
        <v>3.9153676880915498</v>
      </c>
      <c r="P812" s="610">
        <v>3.74004568994317</v>
      </c>
      <c r="Q812" s="2071">
        <v>3.7014491959770699</v>
      </c>
      <c r="R812" s="600">
        <v>3.8269167021324599</v>
      </c>
      <c r="S812" s="669">
        <v>3.7998207710193799</v>
      </c>
      <c r="T812" s="1567">
        <v>3.9716092695836398</v>
      </c>
    </row>
    <row r="813" spans="1:20">
      <c r="A813" t="s">
        <v>2534</v>
      </c>
      <c r="B813" s="6" t="str">
        <f>HYPERLINK("http://www.ncbi.nlm.nih.gov/gene/626596", "626596")</f>
        <v>626596</v>
      </c>
      <c r="C813" s="6" t="str">
        <f>HYPERLINK("http://www.ncbi.nlm.nih.gov/gene/26166", "26166")</f>
        <v>26166</v>
      </c>
      <c r="D813" t="str">
        <f>"Rgs22"</f>
        <v>Rgs22</v>
      </c>
      <c r="E813" t="s">
        <v>2535</v>
      </c>
      <c r="F813" t="s">
        <v>2510</v>
      </c>
      <c r="H813" s="519">
        <v>5</v>
      </c>
      <c r="I813" s="68">
        <v>3.8709168367164799</v>
      </c>
      <c r="J813" s="128">
        <v>3.9120297943489502</v>
      </c>
      <c r="K813" s="253">
        <v>3.4438451419532399</v>
      </c>
      <c r="L813" s="2421">
        <v>4.9999203990726997</v>
      </c>
      <c r="M813" s="597">
        <v>5.1602820354991596</v>
      </c>
      <c r="N813" s="571">
        <v>4.9700639419745301</v>
      </c>
      <c r="O813" s="1192">
        <v>3.6204930978991099</v>
      </c>
      <c r="P813" s="779">
        <v>4.0808859870350602</v>
      </c>
      <c r="Q813" s="2448">
        <v>3.6980735956151798</v>
      </c>
      <c r="R813" s="566">
        <v>3.6937358750703901</v>
      </c>
      <c r="S813" s="627">
        <v>3.9342386874882398</v>
      </c>
      <c r="T813" s="1608">
        <v>4.3948576408673903</v>
      </c>
    </row>
    <row r="814" spans="1:20">
      <c r="A814" t="s">
        <v>2511</v>
      </c>
      <c r="B814" s="6" t="str">
        <f>HYPERLINK("http://www.ncbi.nlm.nih.gov/gene/14396", "14396")</f>
        <v>14396</v>
      </c>
      <c r="C814" s="6" t="str">
        <f>HYPERLINK("http://www.ncbi.nlm.nih.gov/gene/2556", "2556")</f>
        <v>2556</v>
      </c>
      <c r="D814" t="str">
        <f>"Gabra3"</f>
        <v>Gabra3</v>
      </c>
      <c r="E814" t="s">
        <v>2491</v>
      </c>
      <c r="F814" t="s">
        <v>2541</v>
      </c>
      <c r="G814" t="s">
        <v>106</v>
      </c>
      <c r="H814" s="519">
        <v>5</v>
      </c>
      <c r="I814" s="350">
        <v>6.9668104752278399</v>
      </c>
      <c r="J814" s="237">
        <v>7.0923455774610398</v>
      </c>
      <c r="K814" s="41">
        <v>7.3624649800253996</v>
      </c>
      <c r="L814" s="2428">
        <v>8.6947559678713304</v>
      </c>
      <c r="M814" s="1164">
        <v>8.6561725816583692</v>
      </c>
      <c r="N814" s="547">
        <v>8.89832680323536</v>
      </c>
      <c r="O814" s="1202">
        <v>7.1602597778212802</v>
      </c>
      <c r="P814" s="1367">
        <v>7.2363633250508297</v>
      </c>
      <c r="Q814" s="2225">
        <v>7.4902477908746503</v>
      </c>
      <c r="R814" s="529">
        <v>7.5057425931060102</v>
      </c>
      <c r="S814" s="654">
        <v>7.5305668349438397</v>
      </c>
      <c r="T814" s="765">
        <v>7.9023582073584802</v>
      </c>
    </row>
    <row r="815" spans="1:20">
      <c r="A815" t="s">
        <v>2542</v>
      </c>
      <c r="B815" s="6" t="str">
        <f>HYPERLINK("http://www.ncbi.nlm.nih.gov/gene/230903", "230903")</f>
        <v>230903</v>
      </c>
      <c r="C815" s="6" t="str">
        <f>HYPERLINK("http://www.ncbi.nlm.nih.gov/gene/93611", "93611")</f>
        <v>93611</v>
      </c>
      <c r="D815" t="str">
        <f>"Fbxo44"</f>
        <v>Fbxo44</v>
      </c>
      <c r="E815" t="s">
        <v>2543</v>
      </c>
      <c r="F815" t="s">
        <v>2544</v>
      </c>
      <c r="H815" s="519">
        <v>5</v>
      </c>
      <c r="I815" s="84">
        <v>3.4304164795251699</v>
      </c>
      <c r="J815" s="46">
        <v>3.61279998334224</v>
      </c>
      <c r="K815" s="91">
        <v>3.6373901454805599</v>
      </c>
      <c r="L815" s="2504">
        <v>4.5477500366073098</v>
      </c>
      <c r="M815" s="565">
        <v>4.7139601225425496</v>
      </c>
      <c r="N815" s="674">
        <v>4.8041714367848796</v>
      </c>
      <c r="O815" s="1255">
        <v>3.8636996518280702</v>
      </c>
      <c r="P815" s="578">
        <v>3.4792533190535702</v>
      </c>
      <c r="Q815" s="2041">
        <v>3.6742289565582298</v>
      </c>
      <c r="R815" s="600">
        <v>3.7507314861231</v>
      </c>
      <c r="S815" s="543">
        <v>3.75343842139096</v>
      </c>
      <c r="T815" s="1527">
        <v>4.0195062799764498</v>
      </c>
    </row>
    <row r="816" spans="1:20">
      <c r="A816" t="s">
        <v>2545</v>
      </c>
      <c r="B816" s="6" t="str">
        <f>HYPERLINK("http://www.ncbi.nlm.nih.gov/gene/320405", "320405")</f>
        <v>320405</v>
      </c>
      <c r="C816" s="6" t="str">
        <f>HYPERLINK("http://www.ncbi.nlm.nih.gov/gene/93664", "93664")</f>
        <v>93664</v>
      </c>
      <c r="D816" t="str">
        <f>"Cadps2"</f>
        <v>Cadps2</v>
      </c>
      <c r="E816" t="s">
        <v>2520</v>
      </c>
      <c r="F816" t="s">
        <v>2546</v>
      </c>
      <c r="H816" s="519">
        <v>5</v>
      </c>
      <c r="I816" s="75">
        <v>3.23546205886454</v>
      </c>
      <c r="J816" s="123">
        <v>3.2926959134302201</v>
      </c>
      <c r="K816" s="226">
        <v>3.022439665217</v>
      </c>
      <c r="L816" s="2434">
        <v>5.4217427005473304</v>
      </c>
      <c r="M816" s="675">
        <v>5.4062684090984803</v>
      </c>
      <c r="N816" s="587">
        <v>5.5907933521033897</v>
      </c>
      <c r="O816" s="1080">
        <v>3.4001621283910599</v>
      </c>
      <c r="P816" s="595">
        <v>3.6440917942945501</v>
      </c>
      <c r="Q816" s="2314">
        <v>3.22517942316269</v>
      </c>
      <c r="R816" s="835">
        <v>4.0337837407953003</v>
      </c>
      <c r="S816" s="835">
        <v>4.0385659021647902</v>
      </c>
      <c r="T816" s="1609">
        <v>4.1049499693253404</v>
      </c>
    </row>
    <row r="817" spans="1:20">
      <c r="A817" t="s">
        <v>2547</v>
      </c>
      <c r="B817" s="6" t="str">
        <f>HYPERLINK("http://www.ncbi.nlm.nih.gov/gene/20606", "20606")</f>
        <v>20606</v>
      </c>
      <c r="C817" s="6" t="str">
        <f>HYPERLINK("http://www.ncbi.nlm.nih.gov/gene/6752", "6752")</f>
        <v>6752</v>
      </c>
      <c r="D817" t="str">
        <f>"Sstr2"</f>
        <v>Sstr2</v>
      </c>
      <c r="E817" t="s">
        <v>2548</v>
      </c>
      <c r="F817" t="s">
        <v>2536</v>
      </c>
      <c r="G817" t="s">
        <v>2537</v>
      </c>
      <c r="H817" s="519">
        <v>5</v>
      </c>
      <c r="I817" s="423">
        <v>3.3268225453308</v>
      </c>
      <c r="J817" s="50">
        <v>4.099100138411</v>
      </c>
      <c r="K817" s="290">
        <v>3.7583905796577501</v>
      </c>
      <c r="L817" s="2460">
        <v>5.8935209013035603</v>
      </c>
      <c r="M817" s="679">
        <v>6.1079664455952001</v>
      </c>
      <c r="N817" s="587">
        <v>6.20635714395703</v>
      </c>
      <c r="O817" s="1039">
        <v>4.1451253594690298</v>
      </c>
      <c r="P817" s="676">
        <v>4.3346613248349097</v>
      </c>
      <c r="Q817" s="2035">
        <v>4.0228963433757903</v>
      </c>
      <c r="R817" s="750">
        <v>4.7832328274406199</v>
      </c>
      <c r="S817" s="743">
        <v>4.5374306855432396</v>
      </c>
      <c r="T817" s="1547">
        <v>4.58295837001958</v>
      </c>
    </row>
    <row r="818" spans="1:20">
      <c r="A818" t="s">
        <v>2538</v>
      </c>
      <c r="B818" s="6" t="str">
        <f>HYPERLINK("http://www.ncbi.nlm.nih.gov/gene/239188", "239188")</f>
        <v>239188</v>
      </c>
      <c r="C818" s="6" t="str">
        <f>HYPERLINK("http://www.ncbi.nlm.nih.gov/gene/55068", "55068")</f>
        <v>55068</v>
      </c>
      <c r="D818" t="str">
        <f>"Enox1"</f>
        <v>Enox1</v>
      </c>
      <c r="E818" t="s">
        <v>2509</v>
      </c>
      <c r="F818" t="s">
        <v>2526</v>
      </c>
      <c r="H818" s="519">
        <v>5</v>
      </c>
      <c r="I818" s="350">
        <v>4.7214101901011096</v>
      </c>
      <c r="J818" s="55">
        <v>4.9731793383345604</v>
      </c>
      <c r="K818" s="212">
        <v>4.7096282585112599</v>
      </c>
      <c r="L818" s="2428">
        <v>5.9015324024547198</v>
      </c>
      <c r="M818" s="617">
        <v>6.0002867596402503</v>
      </c>
      <c r="N818" s="777">
        <v>5.9559496236783502</v>
      </c>
      <c r="O818" s="1360">
        <v>5.0492887594823097</v>
      </c>
      <c r="P818" s="629">
        <v>5.0907815803108898</v>
      </c>
      <c r="Q818" s="2133">
        <v>4.9642702887094599</v>
      </c>
      <c r="R818" s="683">
        <v>5.0738377793305496</v>
      </c>
      <c r="S818" s="853">
        <v>5.1303492589239204</v>
      </c>
      <c r="T818" s="1567">
        <v>5.1479292922484596</v>
      </c>
    </row>
    <row r="819" spans="1:20">
      <c r="A819" t="s">
        <v>2527</v>
      </c>
      <c r="B819" s="6" t="str">
        <f>HYPERLINK("http://www.ncbi.nlm.nih.gov/gene/230126", "230126")</f>
        <v>230126</v>
      </c>
      <c r="C819" s="6" t="str">
        <f>HYPERLINK("http://www.ncbi.nlm.nih.gov/gene/6461", "6461")</f>
        <v>6461</v>
      </c>
      <c r="D819" t="str">
        <f>"Shb"</f>
        <v>Shb</v>
      </c>
      <c r="E819" t="s">
        <v>2528</v>
      </c>
      <c r="F819" t="s">
        <v>2517</v>
      </c>
      <c r="H819" s="519">
        <v>5</v>
      </c>
      <c r="I819" s="386">
        <v>4.47365478099396</v>
      </c>
      <c r="J819" s="90">
        <v>5.23452562127056</v>
      </c>
      <c r="K819" s="252">
        <v>4.6790650530935904</v>
      </c>
      <c r="L819" s="1975">
        <v>6.0955022020862701</v>
      </c>
      <c r="M819" s="815">
        <v>6.4983910322421696</v>
      </c>
      <c r="N819" s="698">
        <v>6.2904080596702299</v>
      </c>
      <c r="O819" s="880">
        <v>5.4976566488560596</v>
      </c>
      <c r="P819" s="1095">
        <v>5.3634204971268096</v>
      </c>
      <c r="Q819" s="2158">
        <v>5.3092835659958899</v>
      </c>
      <c r="R819" s="573">
        <v>5.0048539454372003</v>
      </c>
      <c r="S819" s="1297">
        <v>5.5251103627366298</v>
      </c>
      <c r="T819" s="1374">
        <v>5.1734358472736703</v>
      </c>
    </row>
    <row r="820" spans="1:20">
      <c r="A820" t="s">
        <v>2518</v>
      </c>
      <c r="B820" s="6" t="str">
        <f>HYPERLINK("http://www.ncbi.nlm.nih.gov/gene/22317", "22317")</f>
        <v>22317</v>
      </c>
      <c r="C820" s="6" t="str">
        <f>HYPERLINK("http://www.ncbi.nlm.nih.gov/gene/6843", "6843")</f>
        <v>6843</v>
      </c>
      <c r="D820" t="str">
        <f>"Vamp1"</f>
        <v>Vamp1</v>
      </c>
      <c r="E820" t="s">
        <v>2519</v>
      </c>
      <c r="F820" t="s">
        <v>2539</v>
      </c>
      <c r="G820" t="s">
        <v>51</v>
      </c>
      <c r="H820" s="519">
        <v>5</v>
      </c>
      <c r="I820" s="284">
        <v>3.9822107623041298</v>
      </c>
      <c r="J820" s="141">
        <v>4.2809692320104</v>
      </c>
      <c r="K820" s="43">
        <v>4.2403303202314602</v>
      </c>
      <c r="L820" s="2505">
        <v>5.0834023469968601</v>
      </c>
      <c r="M820" s="591">
        <v>5.5801155303472303</v>
      </c>
      <c r="N820" s="725">
        <v>5.4438343544893399</v>
      </c>
      <c r="O820" s="1494">
        <v>4.5663108218456001</v>
      </c>
      <c r="P820" s="1226">
        <v>4.6283885286278501</v>
      </c>
      <c r="Q820" s="2134">
        <v>4.0352400213647401</v>
      </c>
      <c r="R820" s="1223">
        <v>4.2584196814373403</v>
      </c>
      <c r="S820" s="746">
        <v>4.6049118341531301</v>
      </c>
      <c r="T820" s="667">
        <v>4.6603837604653604</v>
      </c>
    </row>
    <row r="821" spans="1:20">
      <c r="A821" t="s">
        <v>2540</v>
      </c>
      <c r="B821" s="6" t="str">
        <f>HYPERLINK("http://www.ncbi.nlm.nih.gov/gene/100861846", "100861846")</f>
        <v>100861846</v>
      </c>
      <c r="C821" s="6" t="str">
        <f>HYPERLINK("http://www.ncbi.nlm.nih.gov/gene/", "")</f>
        <v/>
      </c>
      <c r="D821" t="str">
        <f>"LOC100861846"</f>
        <v>LOC100861846</v>
      </c>
      <c r="E821" t="s">
        <v>2512</v>
      </c>
      <c r="H821" s="519">
        <v>5</v>
      </c>
      <c r="I821" s="122">
        <v>2.4740847896193201</v>
      </c>
      <c r="J821" s="52">
        <v>2.8823448091972002</v>
      </c>
      <c r="K821" s="424">
        <v>2.1570005267993699</v>
      </c>
      <c r="L821" s="2506">
        <v>3.6226291183422901</v>
      </c>
      <c r="M821" s="751">
        <v>3.08354661143147</v>
      </c>
      <c r="N821" s="526">
        <v>4.1949690122212004</v>
      </c>
      <c r="O821" s="1610">
        <v>3.6529560762862299</v>
      </c>
      <c r="P821" s="784">
        <v>3.0256407948082402</v>
      </c>
      <c r="Q821" s="2217">
        <v>2.81399859736324</v>
      </c>
      <c r="R821" s="622">
        <v>2.7182796372992999</v>
      </c>
      <c r="S821" s="650">
        <v>3.0118911148709202</v>
      </c>
      <c r="T821" s="794">
        <v>3.0012002537092402</v>
      </c>
    </row>
    <row r="822" spans="1:20">
      <c r="A822" t="s">
        <v>2513</v>
      </c>
      <c r="B822" s="6" t="str">
        <f>HYPERLINK("http://www.ncbi.nlm.nih.gov/gene/100862030", "100862030")</f>
        <v>100862030</v>
      </c>
      <c r="C822" s="6" t="str">
        <f>HYPERLINK("http://www.ncbi.nlm.nih.gov/gene/", "")</f>
        <v/>
      </c>
      <c r="D822" t="str">
        <f>"LOC100862030"</f>
        <v>LOC100862030</v>
      </c>
      <c r="E822" t="s">
        <v>2514</v>
      </c>
      <c r="H822" s="519">
        <v>5</v>
      </c>
      <c r="I822" s="190">
        <v>3.8480233881871699</v>
      </c>
      <c r="J822" s="95">
        <v>3.5205609636585899</v>
      </c>
      <c r="K822" s="452">
        <v>3.2258120121113398</v>
      </c>
      <c r="L822" s="2410">
        <v>4.7176886563204503</v>
      </c>
      <c r="M822" s="644">
        <v>4.7523350296571101</v>
      </c>
      <c r="N822" s="1252">
        <v>4.6999550372961298</v>
      </c>
      <c r="O822" s="871">
        <v>4.4631732304893301</v>
      </c>
      <c r="P822" s="779">
        <v>3.9270424717111299</v>
      </c>
      <c r="Q822" s="2448">
        <v>3.58127942624514</v>
      </c>
      <c r="R822" s="550">
        <v>3.8671289275544001</v>
      </c>
      <c r="S822" s="1007">
        <v>3.5687791837192302</v>
      </c>
      <c r="T822" s="1344">
        <v>3.66746809973364</v>
      </c>
    </row>
    <row r="823" spans="1:20">
      <c r="A823" t="s">
        <v>2515</v>
      </c>
      <c r="B823" s="6" t="str">
        <f>HYPERLINK("http://www.ncbi.nlm.nih.gov/gene/15417", "15417")</f>
        <v>15417</v>
      </c>
      <c r="C823" s="6" t="str">
        <f>HYPERLINK("http://www.ncbi.nlm.nih.gov/gene/3219", "3219")</f>
        <v>3219</v>
      </c>
      <c r="D823" t="str">
        <f>"Hoxb9"</f>
        <v>Hoxb9</v>
      </c>
      <c r="E823" t="s">
        <v>2516</v>
      </c>
      <c r="F823" t="s">
        <v>2523</v>
      </c>
      <c r="H823" s="520">
        <v>6</v>
      </c>
      <c r="I823" s="123">
        <v>4.1530524760631504</v>
      </c>
      <c r="J823" s="175">
        <v>3.9771002351457998</v>
      </c>
      <c r="K823" s="75">
        <v>4.12214411939547</v>
      </c>
      <c r="L823" s="2507">
        <v>4.87837334334837</v>
      </c>
      <c r="M823" s="844">
        <v>4.8343328998191204</v>
      </c>
      <c r="N823" s="526">
        <v>5.5665242625641804</v>
      </c>
      <c r="O823" s="1224">
        <v>4.1730767903215602</v>
      </c>
      <c r="P823" s="609">
        <v>4.3094350444438296</v>
      </c>
      <c r="Q823" s="2081">
        <v>4.2110322476098796</v>
      </c>
      <c r="R823" s="939">
        <v>4.6312831707687501</v>
      </c>
      <c r="S823" s="784">
        <v>4.48301408982047</v>
      </c>
      <c r="T823" s="1555">
        <v>4.7411795657090696</v>
      </c>
    </row>
    <row r="824" spans="1:20">
      <c r="A824" t="s">
        <v>2524</v>
      </c>
      <c r="B824" s="6" t="str">
        <f>HYPERLINK("http://www.ncbi.nlm.nih.gov/gene/12561", "12561")</f>
        <v>12561</v>
      </c>
      <c r="C824" s="6" t="str">
        <f>HYPERLINK("http://www.ncbi.nlm.nih.gov/gene/1002", "1002")</f>
        <v>1002</v>
      </c>
      <c r="D824" t="str">
        <f>"Cdh4"</f>
        <v>Cdh4</v>
      </c>
      <c r="E824" t="s">
        <v>2525</v>
      </c>
      <c r="F824" t="s">
        <v>2549</v>
      </c>
      <c r="G824" t="s">
        <v>362</v>
      </c>
      <c r="H824" s="520">
        <v>6</v>
      </c>
      <c r="I824" s="160">
        <v>4.0281616206002404</v>
      </c>
      <c r="J824" s="46">
        <v>3.9867836453144498</v>
      </c>
      <c r="K824" s="430">
        <v>3.3242308160168901</v>
      </c>
      <c r="L824" s="2508">
        <v>4.98514896331631</v>
      </c>
      <c r="M824" s="1120">
        <v>5.1414285536964304</v>
      </c>
      <c r="N824" s="1018">
        <v>5.6117950285727396</v>
      </c>
      <c r="O824" s="989">
        <v>4.11618549678417</v>
      </c>
      <c r="P824" s="712">
        <v>4.0551660463005197</v>
      </c>
      <c r="Q824" s="2141">
        <v>3.9273221451559501</v>
      </c>
      <c r="R824" s="916">
        <v>4.5495874686927698</v>
      </c>
      <c r="S824" s="764">
        <v>4.6180715807943598</v>
      </c>
      <c r="T824" s="1611">
        <v>4.5952838143935102</v>
      </c>
    </row>
    <row r="825" spans="1:20">
      <c r="A825" t="s">
        <v>2530</v>
      </c>
      <c r="B825" s="6" t="str">
        <f>HYPERLINK("http://www.ncbi.nlm.nih.gov/gene/380705", "380705")</f>
        <v>380705</v>
      </c>
      <c r="C825" s="6" t="str">
        <f>HYPERLINK("http://www.ncbi.nlm.nih.gov/gene/284114", "284114")</f>
        <v>284114</v>
      </c>
      <c r="D825" t="str">
        <f>"Tmem102"</f>
        <v>Tmem102</v>
      </c>
      <c r="E825" t="s">
        <v>2531</v>
      </c>
      <c r="F825" t="s">
        <v>2532</v>
      </c>
      <c r="H825" s="520">
        <v>6</v>
      </c>
      <c r="I825" s="61">
        <v>2.97845955190353</v>
      </c>
      <c r="J825" s="175">
        <v>2.6347583745162999</v>
      </c>
      <c r="K825" s="50">
        <v>2.9640796040677002</v>
      </c>
      <c r="L825" s="2434">
        <v>4.1315223077284502</v>
      </c>
      <c r="M825" s="862">
        <v>3.6564775876012301</v>
      </c>
      <c r="N825" s="526">
        <v>4.4985914037120898</v>
      </c>
      <c r="O825" s="1396">
        <v>3.0574662298041102</v>
      </c>
      <c r="P825" s="659">
        <v>3.0020414967258202</v>
      </c>
      <c r="Q825" s="2323">
        <v>2.6380596649805601</v>
      </c>
      <c r="R825" s="838">
        <v>3.4007613127074299</v>
      </c>
      <c r="S825" s="778">
        <v>3.3589274859862499</v>
      </c>
      <c r="T825" s="1388">
        <v>3.2337304681591599</v>
      </c>
    </row>
    <row r="826" spans="1:20">
      <c r="A826" t="s">
        <v>2521</v>
      </c>
      <c r="B826" s="6" t="str">
        <f>HYPERLINK("http://www.ncbi.nlm.nih.gov/gene/13867", "13867")</f>
        <v>13867</v>
      </c>
      <c r="C826" s="6" t="str">
        <f>HYPERLINK("http://www.ncbi.nlm.nih.gov/gene/2065", "2065")</f>
        <v>2065</v>
      </c>
      <c r="D826" t="str">
        <f>"Erbb3"</f>
        <v>Erbb3</v>
      </c>
      <c r="E826" t="s">
        <v>2522</v>
      </c>
      <c r="F826" t="s">
        <v>2550</v>
      </c>
      <c r="G826" t="s">
        <v>2551</v>
      </c>
      <c r="H826" s="520">
        <v>6</v>
      </c>
      <c r="I826" s="305">
        <v>3.8886037484893898</v>
      </c>
      <c r="J826" s="150">
        <v>3.33176487332178</v>
      </c>
      <c r="K826" s="221">
        <v>3.5420011503216799</v>
      </c>
      <c r="L826" s="2468">
        <v>5.4197837757753504</v>
      </c>
      <c r="M826" s="927">
        <v>4.8958083912809496</v>
      </c>
      <c r="N826" s="576">
        <v>5.3970987282806604</v>
      </c>
      <c r="O826" s="1230">
        <v>4.0558246861278899</v>
      </c>
      <c r="P826" s="729">
        <v>3.5473988236102398</v>
      </c>
      <c r="Q826" s="2134">
        <v>3.3991652094587699</v>
      </c>
      <c r="R826" s="1267">
        <v>4.4488631265012701</v>
      </c>
      <c r="S826" s="875">
        <v>4.5663495205286999</v>
      </c>
      <c r="T826" s="1389">
        <v>4.1916459416377396</v>
      </c>
    </row>
    <row r="827" spans="1:20">
      <c r="A827" t="s">
        <v>2552</v>
      </c>
      <c r="B827" s="6" t="str">
        <f>HYPERLINK("http://www.ncbi.nlm.nih.gov/gene/67664", "67664")</f>
        <v>67664</v>
      </c>
      <c r="C827" s="6" t="str">
        <f>HYPERLINK("http://www.ncbi.nlm.nih.gov/gene/", "")</f>
        <v/>
      </c>
      <c r="D827" t="str">
        <f>"Rnf125"</f>
        <v>Rnf125</v>
      </c>
      <c r="E827" t="s">
        <v>2553</v>
      </c>
      <c r="F827" t="s">
        <v>2554</v>
      </c>
      <c r="G827" t="s">
        <v>2555</v>
      </c>
      <c r="H827" s="520">
        <v>6</v>
      </c>
      <c r="I827" s="157">
        <v>3.6613529530586999</v>
      </c>
      <c r="J827" s="180">
        <v>3.6838159286912502</v>
      </c>
      <c r="K827" s="81">
        <v>3.91528720864514</v>
      </c>
      <c r="L827" s="2498">
        <v>5.1476233403952403</v>
      </c>
      <c r="M827" s="558">
        <v>5.4786476502916397</v>
      </c>
      <c r="N827" s="526">
        <v>6.0257441130893996</v>
      </c>
      <c r="O827" s="1353">
        <v>4.1565505371363702</v>
      </c>
      <c r="P827" s="1346">
        <v>3.9028222970499802</v>
      </c>
      <c r="Q827" s="2071">
        <v>4.0149637168969399</v>
      </c>
      <c r="R827" s="830">
        <v>4.4256373113184297</v>
      </c>
      <c r="S827" s="750">
        <v>4.5675435173542001</v>
      </c>
      <c r="T827" s="1520">
        <v>4.5431217769591896</v>
      </c>
    </row>
    <row r="828" spans="1:20">
      <c r="A828" t="s">
        <v>2579</v>
      </c>
      <c r="B828" s="6" t="str">
        <f>HYPERLINK("http://www.ncbi.nlm.nih.gov/gene/18164", "18164")</f>
        <v>18164</v>
      </c>
      <c r="C828" s="6" t="str">
        <f>HYPERLINK("http://www.ncbi.nlm.nih.gov/gene/4884", "4884")</f>
        <v>4884</v>
      </c>
      <c r="D828" t="str">
        <f>"Nptx1"</f>
        <v>Nptx1</v>
      </c>
      <c r="E828" t="s">
        <v>2580</v>
      </c>
      <c r="F828" t="s">
        <v>2556</v>
      </c>
      <c r="H828" s="520">
        <v>6</v>
      </c>
      <c r="I828" s="129">
        <v>3.3850247710839301</v>
      </c>
      <c r="J828" s="233">
        <v>3.1179482748876701</v>
      </c>
      <c r="K828" s="24">
        <v>3.2680083919637402</v>
      </c>
      <c r="L828" s="2509">
        <v>4.7084928134985198</v>
      </c>
      <c r="M828" s="753">
        <v>4.8699079808540002</v>
      </c>
      <c r="N828" s="1014">
        <v>5.4102990672857301</v>
      </c>
      <c r="O828" s="1005">
        <v>3.20005620912672</v>
      </c>
      <c r="P828" s="1191">
        <v>3.1877364246785098</v>
      </c>
      <c r="Q828" s="2329">
        <v>3.1835209784557699</v>
      </c>
      <c r="R828" s="950">
        <v>4.1102030979505102</v>
      </c>
      <c r="S828" s="1401">
        <v>3.9304826896653098</v>
      </c>
      <c r="T828" s="817">
        <v>4.02278647715793</v>
      </c>
    </row>
    <row r="829" spans="1:20">
      <c r="A829" t="s">
        <v>2557</v>
      </c>
      <c r="B829" s="6" t="str">
        <f>HYPERLINK("http://www.ncbi.nlm.nih.gov/gene/107371", "107371")</f>
        <v>107371</v>
      </c>
      <c r="C829" s="6" t="str">
        <f>HYPERLINK("http://www.ncbi.nlm.nih.gov/gene/54536", "54536")</f>
        <v>54536</v>
      </c>
      <c r="D829" t="str">
        <f>"Exoc6"</f>
        <v>Exoc6</v>
      </c>
      <c r="E829" t="s">
        <v>2558</v>
      </c>
      <c r="F829" t="s">
        <v>2559</v>
      </c>
      <c r="H829" s="520">
        <v>6</v>
      </c>
      <c r="I829" s="23">
        <v>3.9353748644559099</v>
      </c>
      <c r="J829" s="237">
        <v>3.8268604006950899</v>
      </c>
      <c r="K829" s="127">
        <v>3.9300348153773599</v>
      </c>
      <c r="L829" s="2410">
        <v>6.1294460366469998</v>
      </c>
      <c r="M829" s="679">
        <v>6.3142921653602304</v>
      </c>
      <c r="N829" s="597">
        <v>6.4840146135375196</v>
      </c>
      <c r="O829" s="1395">
        <v>4.3637921091682799</v>
      </c>
      <c r="P829" s="1181">
        <v>3.97234323867943</v>
      </c>
      <c r="Q829" s="2074">
        <v>3.8806662091366202</v>
      </c>
      <c r="R829" s="654">
        <v>4.4888686885855202</v>
      </c>
      <c r="S829" s="939">
        <v>5.0323453177477599</v>
      </c>
      <c r="T829" s="794">
        <v>4.6478949155115297</v>
      </c>
    </row>
    <row r="830" spans="1:20">
      <c r="A830" t="s">
        <v>2560</v>
      </c>
      <c r="B830" s="6" t="str">
        <f>HYPERLINK("http://www.ncbi.nlm.nih.gov/gene/244431", "244431")</f>
        <v>244431</v>
      </c>
      <c r="C830" s="6" t="str">
        <f>HYPERLINK("http://www.ncbi.nlm.nih.gov/gene/137868", "137868")</f>
        <v>137868</v>
      </c>
      <c r="D830" t="str">
        <f>"Sgcz"</f>
        <v>Sgcz</v>
      </c>
      <c r="E830" t="s">
        <v>2561</v>
      </c>
      <c r="F830" t="s">
        <v>2562</v>
      </c>
      <c r="H830" s="520">
        <v>6</v>
      </c>
      <c r="I830" s="51">
        <v>2.98250343805516</v>
      </c>
      <c r="J830" s="130">
        <v>2.8928897507922202</v>
      </c>
      <c r="K830" s="75">
        <v>2.9239130791311299</v>
      </c>
      <c r="L830" s="2510">
        <v>4.4876854495100797</v>
      </c>
      <c r="M830" s="686">
        <v>4.8023921621091903</v>
      </c>
      <c r="N830" s="565">
        <v>4.8854424592609798</v>
      </c>
      <c r="O830" s="1046">
        <v>3.1241074266331399</v>
      </c>
      <c r="P830" s="987">
        <v>2.7882271738773299</v>
      </c>
      <c r="Q830" s="2316">
        <v>2.85741491019103</v>
      </c>
      <c r="R830" s="1296">
        <v>3.5553710461704502</v>
      </c>
      <c r="S830" s="901">
        <v>4.0094958038755504</v>
      </c>
      <c r="T830" s="1612">
        <v>3.8804129977667299</v>
      </c>
    </row>
    <row r="831" spans="1:20">
      <c r="A831" t="s">
        <v>2563</v>
      </c>
      <c r="B831" s="6" t="str">
        <f>HYPERLINK("http://www.ncbi.nlm.nih.gov/gene/20855", "20855")</f>
        <v>20855</v>
      </c>
      <c r="C831" s="6" t="str">
        <f>HYPERLINK("http://www.ncbi.nlm.nih.gov/gene/6781", "6781")</f>
        <v>6781</v>
      </c>
      <c r="D831" t="str">
        <f>"Stc1"</f>
        <v>Stc1</v>
      </c>
      <c r="E831" t="s">
        <v>2564</v>
      </c>
      <c r="F831" t="s">
        <v>2565</v>
      </c>
      <c r="H831" s="520">
        <v>6</v>
      </c>
      <c r="I831" s="175">
        <v>5.7066270538366801</v>
      </c>
      <c r="J831" s="290">
        <v>5.8478831133747597</v>
      </c>
      <c r="K831" s="120">
        <v>6.1280664214344096</v>
      </c>
      <c r="L831" s="2410">
        <v>7.2315325483907902</v>
      </c>
      <c r="M831" s="558">
        <v>7.2390352812335799</v>
      </c>
      <c r="N831" s="666">
        <v>7.3339774727146798</v>
      </c>
      <c r="O831" s="1581">
        <v>6.14509646162454</v>
      </c>
      <c r="P831" s="708">
        <v>6.06999928686567</v>
      </c>
      <c r="Q831" s="2050">
        <v>5.6625215569068299</v>
      </c>
      <c r="R831" s="1122">
        <v>6.4471865401034902</v>
      </c>
      <c r="S831" s="775">
        <v>6.75013023134081</v>
      </c>
      <c r="T831" s="1576">
        <v>6.4291862878475197</v>
      </c>
    </row>
    <row r="832" spans="1:20">
      <c r="A832" t="s">
        <v>2566</v>
      </c>
      <c r="B832" s="6" t="str">
        <f>HYPERLINK("http://www.ncbi.nlm.nih.gov/gene/17761", "17761")</f>
        <v>17761</v>
      </c>
      <c r="C832" s="6" t="str">
        <f>HYPERLINK("http://www.ncbi.nlm.nih.gov/gene/9053", "9053")</f>
        <v>9053</v>
      </c>
      <c r="D832" t="str">
        <f>"Mtap7"</f>
        <v>Mtap7</v>
      </c>
      <c r="E832" t="s">
        <v>2567</v>
      </c>
      <c r="F832" t="s">
        <v>2568</v>
      </c>
      <c r="H832" s="520">
        <v>6</v>
      </c>
      <c r="I832" s="327">
        <v>2.9903882915998099</v>
      </c>
      <c r="J832" s="321">
        <v>3.04014839854743</v>
      </c>
      <c r="K832" s="104">
        <v>3.4476424410492501</v>
      </c>
      <c r="L832" s="2409">
        <v>4.52932407454783</v>
      </c>
      <c r="M832" s="1157">
        <v>4.4499040809572703</v>
      </c>
      <c r="N832" s="586">
        <v>4.6211598294309599</v>
      </c>
      <c r="O832" s="1048">
        <v>3.1729446729774602</v>
      </c>
      <c r="P832" s="594">
        <v>3.3697264192173302</v>
      </c>
      <c r="Q832" s="2511">
        <v>2.88056577936967</v>
      </c>
      <c r="R832" s="800">
        <v>3.81025476724913</v>
      </c>
      <c r="S832" s="1485">
        <v>3.98543613341023</v>
      </c>
      <c r="T832" s="1609">
        <v>3.7140021435018298</v>
      </c>
    </row>
    <row r="833" spans="1:20">
      <c r="A833" t="s">
        <v>2569</v>
      </c>
      <c r="B833" s="6" t="str">
        <f>HYPERLINK("http://www.ncbi.nlm.nih.gov/gene/11443", "11443")</f>
        <v>11443</v>
      </c>
      <c r="C833" s="6" t="str">
        <f>HYPERLINK("http://www.ncbi.nlm.nih.gov/gene/1140", "1140")</f>
        <v>1140</v>
      </c>
      <c r="D833" t="str">
        <f>"Chrnb1"</f>
        <v>Chrnb1</v>
      </c>
      <c r="E833" t="s">
        <v>2570</v>
      </c>
      <c r="F833" t="s">
        <v>2571</v>
      </c>
      <c r="G833" t="s">
        <v>106</v>
      </c>
      <c r="H833" s="520">
        <v>6</v>
      </c>
      <c r="I833" s="44">
        <v>4.20331299534931</v>
      </c>
      <c r="J833" s="354">
        <v>3.6176256682853798</v>
      </c>
      <c r="K833" s="273">
        <v>3.9784158489985701</v>
      </c>
      <c r="L833" s="2512">
        <v>5.2593398644564804</v>
      </c>
      <c r="M833" s="697">
        <v>5.4537575313023696</v>
      </c>
      <c r="N833" s="686">
        <v>5.4646530223390801</v>
      </c>
      <c r="O833" s="1187">
        <v>3.8433991847097801</v>
      </c>
      <c r="P833" s="1332">
        <v>3.8307352312860399</v>
      </c>
      <c r="Q833" s="2042">
        <v>3.88447605416905</v>
      </c>
      <c r="R833" s="1207">
        <v>4.4259365539545099</v>
      </c>
      <c r="S833" s="764">
        <v>4.6719991361354296</v>
      </c>
      <c r="T833" s="1613">
        <v>4.7773820673108203</v>
      </c>
    </row>
    <row r="834" spans="1:20">
      <c r="A834" t="s">
        <v>2572</v>
      </c>
      <c r="B834" s="6" t="str">
        <f>HYPERLINK("http://www.ncbi.nlm.nih.gov/gene/71785", "71785")</f>
        <v>71785</v>
      </c>
      <c r="C834" s="6" t="str">
        <f>HYPERLINK("http://www.ncbi.nlm.nih.gov/gene/80310", "80310")</f>
        <v>80310</v>
      </c>
      <c r="D834" t="str">
        <f>"Pdgfd"</f>
        <v>Pdgfd</v>
      </c>
      <c r="E834" t="s">
        <v>2573</v>
      </c>
      <c r="F834" t="s">
        <v>2574</v>
      </c>
      <c r="G834" t="s">
        <v>2575</v>
      </c>
      <c r="H834" s="520">
        <v>6</v>
      </c>
      <c r="I834" s="130">
        <v>4.5674201730572799</v>
      </c>
      <c r="J834" s="449">
        <v>4.1894251411633601</v>
      </c>
      <c r="K834" s="79">
        <v>4.8306819301176001</v>
      </c>
      <c r="L834" s="2500">
        <v>6.1306868337083902</v>
      </c>
      <c r="M834" s="571">
        <v>6.3364582713144397</v>
      </c>
      <c r="N834" s="815">
        <v>6.6047748377413003</v>
      </c>
      <c r="O834" s="1598">
        <v>4.6138991132309801</v>
      </c>
      <c r="P834" s="851">
        <v>4.8220388384352697</v>
      </c>
      <c r="Q834" s="2093">
        <v>4.6966804261962602</v>
      </c>
      <c r="R834" s="690">
        <v>5.2447851512087702</v>
      </c>
      <c r="S834" s="916">
        <v>5.4246879907223002</v>
      </c>
      <c r="T834" s="1561">
        <v>5.5971142716751601</v>
      </c>
    </row>
    <row r="835" spans="1:20">
      <c r="A835" t="s">
        <v>2576</v>
      </c>
      <c r="B835" s="6" t="str">
        <f>HYPERLINK("http://www.ncbi.nlm.nih.gov/gene/58188", "58188")</f>
        <v>58188</v>
      </c>
      <c r="C835" s="6" t="str">
        <f>HYPERLINK("http://www.ncbi.nlm.nih.gov/gene/342865", "342865")</f>
        <v>342865</v>
      </c>
      <c r="D835" t="str">
        <f>"Vstm2b"</f>
        <v>Vstm2b</v>
      </c>
      <c r="E835" t="s">
        <v>2577</v>
      </c>
      <c r="F835" t="s">
        <v>37</v>
      </c>
      <c r="H835" s="520">
        <v>6</v>
      </c>
      <c r="I835" s="142">
        <v>4.8586862558373003</v>
      </c>
      <c r="J835" s="122">
        <v>4.7416296614197497</v>
      </c>
      <c r="K835" s="250">
        <v>4.8002838435411901</v>
      </c>
      <c r="L835" s="2502">
        <v>7.0969932360177701</v>
      </c>
      <c r="M835" s="858">
        <v>7.0435694169620504</v>
      </c>
      <c r="N835" s="586">
        <v>7.4838089687030802</v>
      </c>
      <c r="O835" s="1005">
        <v>4.9558103809379404</v>
      </c>
      <c r="P835" s="561">
        <v>5.0686389755493897</v>
      </c>
      <c r="Q835" s="2496">
        <v>4.9080042831170303</v>
      </c>
      <c r="R835" s="816">
        <v>6.2970541644136899</v>
      </c>
      <c r="S835" s="1284">
        <v>6.3392670902754</v>
      </c>
      <c r="T835" s="1455">
        <v>6.6753207501244596</v>
      </c>
    </row>
    <row r="836" spans="1:20">
      <c r="A836" t="s">
        <v>2578</v>
      </c>
      <c r="B836" s="6" t="str">
        <f>HYPERLINK("http://www.ncbi.nlm.nih.gov/gene/257871", "257871")</f>
        <v>257871</v>
      </c>
      <c r="C836" s="6" t="str">
        <f>HYPERLINK("http://www.ncbi.nlm.nih.gov/gene/", "")</f>
        <v/>
      </c>
      <c r="D836" t="str">
        <f>"Olfr1372-ps1"</f>
        <v>Olfr1372-ps1</v>
      </c>
      <c r="E836" t="s">
        <v>2603</v>
      </c>
      <c r="H836" s="520">
        <v>6</v>
      </c>
      <c r="I836" s="65">
        <v>2.1964155782243302</v>
      </c>
      <c r="J836" s="225">
        <v>2.2315523072415302</v>
      </c>
      <c r="K836" s="37">
        <v>2.9545151915021899</v>
      </c>
      <c r="L836" s="2492">
        <v>6.1930472746645897</v>
      </c>
      <c r="M836" s="1508">
        <v>5.9350404043511098</v>
      </c>
      <c r="N836" s="587">
        <v>6.9174833430765297</v>
      </c>
      <c r="O836" s="1005">
        <v>2.6401740884226701</v>
      </c>
      <c r="P836" s="1040">
        <v>2.7200310440142501</v>
      </c>
      <c r="Q836" s="2056">
        <v>2.7125706459854899</v>
      </c>
      <c r="R836" s="820">
        <v>4.7734154033354299</v>
      </c>
      <c r="S836" s="950">
        <v>4.6156699849442999</v>
      </c>
      <c r="T836" s="1492">
        <v>5.1831933052388699</v>
      </c>
    </row>
    <row r="837" spans="1:20">
      <c r="A837" t="s">
        <v>2604</v>
      </c>
      <c r="B837" s="6" t="str">
        <f>HYPERLINK("http://www.ncbi.nlm.nih.gov/gene/54419", "54419")</f>
        <v>54419</v>
      </c>
      <c r="C837" s="6" t="str">
        <f>HYPERLINK("http://www.ncbi.nlm.nih.gov/gene/9074", "9074")</f>
        <v>9074</v>
      </c>
      <c r="D837" t="str">
        <f>"Cldn6"</f>
        <v>Cldn6</v>
      </c>
      <c r="E837" t="s">
        <v>2605</v>
      </c>
      <c r="F837" t="s">
        <v>2606</v>
      </c>
      <c r="G837" t="s">
        <v>451</v>
      </c>
      <c r="H837" s="520">
        <v>6</v>
      </c>
      <c r="I837" s="43">
        <v>3.4490706479598998</v>
      </c>
      <c r="J837" s="407">
        <v>2.4943989220258</v>
      </c>
      <c r="K837" s="73">
        <v>3.5317698776808699</v>
      </c>
      <c r="L837" s="2513">
        <v>5.6669846726716697</v>
      </c>
      <c r="M837" s="947">
        <v>5.3628662008493198</v>
      </c>
      <c r="N837" s="707">
        <v>5.9439120304553503</v>
      </c>
      <c r="O837" s="1052">
        <v>3.4214774520759099</v>
      </c>
      <c r="P837" s="561">
        <v>3.4370385206004102</v>
      </c>
      <c r="Q837" s="2074">
        <v>3.2966469460155601</v>
      </c>
      <c r="R837" s="1305">
        <v>4.6850876627207896</v>
      </c>
      <c r="S837" s="888">
        <v>5.1546361195203199</v>
      </c>
      <c r="T837" s="1525">
        <v>4.7273711085895398</v>
      </c>
    </row>
    <row r="838" spans="1:20">
      <c r="A838" t="s">
        <v>2607</v>
      </c>
      <c r="B838" s="6" t="str">
        <f>HYPERLINK("http://www.ncbi.nlm.nih.gov/gene/67993", "67993")</f>
        <v>67993</v>
      </c>
      <c r="C838" s="6" t="str">
        <f>HYPERLINK("http://www.ncbi.nlm.nih.gov/gene/83594", "83594")</f>
        <v>83594</v>
      </c>
      <c r="D838" t="str">
        <f>"Nudt12"</f>
        <v>Nudt12</v>
      </c>
      <c r="E838" t="s">
        <v>2608</v>
      </c>
      <c r="F838" t="s">
        <v>2609</v>
      </c>
      <c r="G838" t="s">
        <v>2610</v>
      </c>
      <c r="H838" s="520">
        <v>6</v>
      </c>
      <c r="I838" s="80">
        <v>5.5624453568251404</v>
      </c>
      <c r="J838" s="289">
        <v>5.3315288751971002</v>
      </c>
      <c r="K838" s="299">
        <v>5.5145156024865596</v>
      </c>
      <c r="L838" s="2498">
        <v>6.5237566439132602</v>
      </c>
      <c r="M838" s="804">
        <v>6.78126760259617</v>
      </c>
      <c r="N838" s="617">
        <v>6.9244527844060801</v>
      </c>
      <c r="O838" s="1080">
        <v>5.6761670946706504</v>
      </c>
      <c r="P838" s="1228">
        <v>5.95478421424</v>
      </c>
      <c r="Q838" s="2093">
        <v>5.65792887746428</v>
      </c>
      <c r="R838" s="680">
        <v>5.8374172053861804</v>
      </c>
      <c r="S838" s="924">
        <v>6.3560291349810303</v>
      </c>
      <c r="T838" s="1487">
        <v>6.3017388496892002</v>
      </c>
    </row>
    <row r="839" spans="1:20">
      <c r="A839" t="s">
        <v>2611</v>
      </c>
      <c r="B839" s="6" t="str">
        <f>HYPERLINK("http://www.ncbi.nlm.nih.gov/gene/52552", "52552")</f>
        <v>52552</v>
      </c>
      <c r="C839" s="6" t="str">
        <f>HYPERLINK("http://www.ncbi.nlm.nih.gov/gene/79668", "79668")</f>
        <v>79668</v>
      </c>
      <c r="D839" t="str">
        <f>"Parp8"</f>
        <v>Parp8</v>
      </c>
      <c r="E839" t="s">
        <v>2612</v>
      </c>
      <c r="F839" t="s">
        <v>2613</v>
      </c>
      <c r="H839" s="520">
        <v>6</v>
      </c>
      <c r="I839" s="65">
        <v>6.9310753508965597</v>
      </c>
      <c r="J839" s="439">
        <v>6.6759863963293196</v>
      </c>
      <c r="K839" s="39">
        <v>7.0343143524123404</v>
      </c>
      <c r="L839" s="2514">
        <v>8.1439908221325599</v>
      </c>
      <c r="M839" s="559">
        <v>8.1793560324471493</v>
      </c>
      <c r="N839" s="675">
        <v>8.3022272780788704</v>
      </c>
      <c r="O839" s="1060">
        <v>7.22645426329104</v>
      </c>
      <c r="P839" s="532">
        <v>7.2481473721381402</v>
      </c>
      <c r="Q839" s="2058">
        <v>7.2741489563851198</v>
      </c>
      <c r="R839" s="770">
        <v>7.7289528893685802</v>
      </c>
      <c r="S839" s="801">
        <v>7.7861498775892404</v>
      </c>
      <c r="T839" s="1525">
        <v>7.7420759686002896</v>
      </c>
    </row>
    <row r="840" spans="1:20">
      <c r="A840" t="s">
        <v>2614</v>
      </c>
      <c r="B840" s="6" t="str">
        <f>HYPERLINK("http://www.ncbi.nlm.nih.gov/gene/73649", "73649")</f>
        <v>73649</v>
      </c>
      <c r="C840" s="6" t="str">
        <f>HYPERLINK("http://www.ncbi.nlm.nih.gov/gene/79901", "79901")</f>
        <v>79901</v>
      </c>
      <c r="D840" t="str">
        <f>"Cybrd1"</f>
        <v>Cybrd1</v>
      </c>
      <c r="E840" t="s">
        <v>2615</v>
      </c>
      <c r="F840" t="s">
        <v>2581</v>
      </c>
      <c r="H840" s="520">
        <v>6</v>
      </c>
      <c r="I840" s="321">
        <v>5.2640550159308503</v>
      </c>
      <c r="J840" s="471">
        <v>4.6803884506532496</v>
      </c>
      <c r="K840" s="135">
        <v>5.2962207495210301</v>
      </c>
      <c r="L840" s="2515">
        <v>7.4392732972963396</v>
      </c>
      <c r="M840" s="689">
        <v>7.5592202833624098</v>
      </c>
      <c r="N840" s="1157">
        <v>7.4861880893311401</v>
      </c>
      <c r="O840" s="1080">
        <v>5.5859232211817602</v>
      </c>
      <c r="P840" s="662">
        <v>5.6715508882086203</v>
      </c>
      <c r="Q840" s="2067">
        <v>5.8899167465997202</v>
      </c>
      <c r="R840" s="819">
        <v>6.6902866688272304</v>
      </c>
      <c r="S840" s="1284">
        <v>6.70441059185237</v>
      </c>
      <c r="T840" s="929">
        <v>6.78420308045078</v>
      </c>
    </row>
    <row r="841" spans="1:20">
      <c r="A841" t="s">
        <v>2582</v>
      </c>
      <c r="B841" s="6" t="str">
        <f>HYPERLINK("http://www.ncbi.nlm.nih.gov/gene/66953", "66953")</f>
        <v>66953</v>
      </c>
      <c r="C841" s="6" t="str">
        <f>HYPERLINK("http://www.ncbi.nlm.nih.gov/gene/83879", "83879")</f>
        <v>83879</v>
      </c>
      <c r="D841" t="str">
        <f>"Cdca7"</f>
        <v>Cdca7</v>
      </c>
      <c r="E841" t="s">
        <v>2583</v>
      </c>
      <c r="F841" t="s">
        <v>2584</v>
      </c>
      <c r="H841" s="520">
        <v>6</v>
      </c>
      <c r="I841" s="349">
        <v>6.44742734868586</v>
      </c>
      <c r="J841" s="452">
        <v>6.4100267565992102</v>
      </c>
      <c r="K841" s="248">
        <v>6.8338913612123902</v>
      </c>
      <c r="L841" s="2438">
        <v>8.43333906986717</v>
      </c>
      <c r="M841" s="614">
        <v>8.5162383162699307</v>
      </c>
      <c r="N841" s="707">
        <v>8.7894598989905504</v>
      </c>
      <c r="O841" s="1607">
        <v>7.1959991503026304</v>
      </c>
      <c r="P841" s="549">
        <v>7.1874298918530899</v>
      </c>
      <c r="Q841" s="2133">
        <v>7.10809654684431</v>
      </c>
      <c r="R841" s="875">
        <v>7.9590026984529496</v>
      </c>
      <c r="S841" s="875">
        <v>7.9544841946934897</v>
      </c>
      <c r="T841" s="1498">
        <v>8.0251842490824803</v>
      </c>
    </row>
    <row r="842" spans="1:20">
      <c r="A842" t="s">
        <v>2585</v>
      </c>
      <c r="B842" s="6" t="str">
        <f>HYPERLINK("http://www.ncbi.nlm.nih.gov/gene/233271", "233271")</f>
        <v>233271</v>
      </c>
      <c r="C842" s="6" t="str">
        <f>HYPERLINK("http://www.ncbi.nlm.nih.gov/gene/338645", "338645")</f>
        <v>338645</v>
      </c>
      <c r="D842" t="str">
        <f>"Luzp2"</f>
        <v>Luzp2</v>
      </c>
      <c r="E842" t="s">
        <v>2586</v>
      </c>
      <c r="F842" t="s">
        <v>691</v>
      </c>
      <c r="H842" s="520">
        <v>6</v>
      </c>
      <c r="I842" s="150">
        <v>2.8981476416101701</v>
      </c>
      <c r="J842" s="272">
        <v>2.7705627614377399</v>
      </c>
      <c r="K842" s="65">
        <v>3.0222722037182099</v>
      </c>
      <c r="L842" s="2506">
        <v>5.6802691394413101</v>
      </c>
      <c r="M842" s="1170">
        <v>5.6739099741018597</v>
      </c>
      <c r="N842" s="718">
        <v>6.2120509667730301</v>
      </c>
      <c r="O842" s="1089">
        <v>3.5073217555011298</v>
      </c>
      <c r="P842" s="610">
        <v>3.7413716043781302</v>
      </c>
      <c r="Q842" s="2404">
        <v>3.8528181503321601</v>
      </c>
      <c r="R842" s="966">
        <v>4.8411987908910801</v>
      </c>
      <c r="S842" s="704">
        <v>5.55167269786571</v>
      </c>
      <c r="T842" s="772">
        <v>5.1075420130250304</v>
      </c>
    </row>
    <row r="843" spans="1:20">
      <c r="A843" t="s">
        <v>2587</v>
      </c>
      <c r="B843" s="6" t="str">
        <f>HYPERLINK("http://www.ncbi.nlm.nih.gov/gene/71733", "71733")</f>
        <v>71733</v>
      </c>
      <c r="C843" s="6" t="str">
        <f>HYPERLINK("http://www.ncbi.nlm.nih.gov/gene/56241", "56241")</f>
        <v>56241</v>
      </c>
      <c r="D843" t="str">
        <f>"Susd2"</f>
        <v>Susd2</v>
      </c>
      <c r="E843" t="s">
        <v>2588</v>
      </c>
      <c r="F843" t="s">
        <v>2589</v>
      </c>
      <c r="H843" s="520">
        <v>6</v>
      </c>
      <c r="I843" s="122">
        <v>6.49454154804965</v>
      </c>
      <c r="J843" s="350">
        <v>6.42843052154935</v>
      </c>
      <c r="K843" s="361">
        <v>6.1429233447530098</v>
      </c>
      <c r="L843" s="2516">
        <v>10.070934167873</v>
      </c>
      <c r="M843" s="559">
        <v>10.1312005908992</v>
      </c>
      <c r="N843" s="753">
        <v>10.2130947334681</v>
      </c>
      <c r="O843" s="1580">
        <v>7.0097136745164601</v>
      </c>
      <c r="P843" s="1002">
        <v>7.1193750597259502</v>
      </c>
      <c r="Q843" s="2281">
        <v>7.1670869943723803</v>
      </c>
      <c r="R843" s="1250">
        <v>9.0614409747308304</v>
      </c>
      <c r="S843" s="801">
        <v>8.9695197712831298</v>
      </c>
      <c r="T843" s="1490">
        <v>9.2746011275678004</v>
      </c>
    </row>
    <row r="844" spans="1:20">
      <c r="A844" t="s">
        <v>2590</v>
      </c>
      <c r="B844" s="6" t="str">
        <f>HYPERLINK("http://www.ncbi.nlm.nih.gov/gene/116847", "116847")</f>
        <v>116847</v>
      </c>
      <c r="C844" s="6" t="str">
        <f>HYPERLINK("http://www.ncbi.nlm.nih.gov/gene/5549", "5549")</f>
        <v>5549</v>
      </c>
      <c r="D844" t="str">
        <f>"Prelp"</f>
        <v>Prelp</v>
      </c>
      <c r="E844" t="s">
        <v>2620</v>
      </c>
      <c r="F844" t="s">
        <v>2591</v>
      </c>
      <c r="H844" s="520">
        <v>6</v>
      </c>
      <c r="I844" s="122">
        <v>6.1586720352754902</v>
      </c>
      <c r="J844" s="405">
        <v>5.8260351413938203</v>
      </c>
      <c r="K844" s="150">
        <v>5.9192188913821697</v>
      </c>
      <c r="L844" s="2510">
        <v>9.3274130038860505</v>
      </c>
      <c r="M844" s="774">
        <v>9.3595626218716905</v>
      </c>
      <c r="N844" s="823">
        <v>9.5524283260887994</v>
      </c>
      <c r="O844" s="1012">
        <v>6.7233421845871097</v>
      </c>
      <c r="P844" s="636">
        <v>6.9184227942298202</v>
      </c>
      <c r="Q844" s="2040">
        <v>6.5279239644827598</v>
      </c>
      <c r="R844" s="862">
        <v>8.6267205507387903</v>
      </c>
      <c r="S844" s="909">
        <v>8.6638392026320794</v>
      </c>
      <c r="T844" s="982">
        <v>8.6681320608653198</v>
      </c>
    </row>
    <row r="845" spans="1:20">
      <c r="A845" t="s">
        <v>2592</v>
      </c>
      <c r="B845" s="6" t="str">
        <f>HYPERLINK("http://www.ncbi.nlm.nih.gov/gene/76073", "76073")</f>
        <v>76073</v>
      </c>
      <c r="C845" s="6" t="str">
        <f>HYPERLINK("http://www.ncbi.nlm.nih.gov/gene/84333", "84333")</f>
        <v>84333</v>
      </c>
      <c r="D845" t="str">
        <f>"Pcgf5"</f>
        <v>Pcgf5</v>
      </c>
      <c r="E845" t="s">
        <v>2593</v>
      </c>
      <c r="F845" t="s">
        <v>2594</v>
      </c>
      <c r="H845" s="520">
        <v>6</v>
      </c>
      <c r="I845" s="311">
        <v>5.6315029313994298</v>
      </c>
      <c r="J845" s="337">
        <v>5.3088355713959796</v>
      </c>
      <c r="K845" s="214">
        <v>5.3689571401835199</v>
      </c>
      <c r="L845" s="2517">
        <v>6.6032027460848504</v>
      </c>
      <c r="M845" s="559">
        <v>6.7358056185086799</v>
      </c>
      <c r="N845" s="558">
        <v>6.8021932265937499</v>
      </c>
      <c r="O845" s="1060">
        <v>5.7661528888685396</v>
      </c>
      <c r="P845" s="1223">
        <v>5.6932095283285999</v>
      </c>
      <c r="Q845" s="2054">
        <v>5.6981693839964702</v>
      </c>
      <c r="R845" s="775">
        <v>6.3630088781415903</v>
      </c>
      <c r="S845" s="975">
        <v>6.4842131574096502</v>
      </c>
      <c r="T845" s="1614">
        <v>6.3048369092299197</v>
      </c>
    </row>
    <row r="846" spans="1:20">
      <c r="A846" t="s">
        <v>2595</v>
      </c>
      <c r="B846" s="6" t="str">
        <f>HYPERLINK("http://www.ncbi.nlm.nih.gov/gene/242022", "242022")</f>
        <v>242022</v>
      </c>
      <c r="C846" s="6" t="str">
        <f>HYPERLINK("http://www.ncbi.nlm.nih.gov/gene/341640", "341640")</f>
        <v>341640</v>
      </c>
      <c r="D846" t="str">
        <f>"Frem2"</f>
        <v>Frem2</v>
      </c>
      <c r="E846" t="s">
        <v>2596</v>
      </c>
      <c r="F846" t="s">
        <v>2597</v>
      </c>
      <c r="H846" s="520">
        <v>6</v>
      </c>
      <c r="I846" s="75">
        <v>5.3362099675212802</v>
      </c>
      <c r="J846" s="386">
        <v>4.5655774879972704</v>
      </c>
      <c r="K846" s="409">
        <v>4.8276845107775896</v>
      </c>
      <c r="L846" s="2516">
        <v>7.5534676469725497</v>
      </c>
      <c r="M846" s="858">
        <v>7.4653931807856502</v>
      </c>
      <c r="N846" s="728">
        <v>7.6647218927072602</v>
      </c>
      <c r="O846" s="1190">
        <v>5.5673637203020201</v>
      </c>
      <c r="P846" s="594">
        <v>5.7312719494662501</v>
      </c>
      <c r="Q846" s="2151">
        <v>5.7913610886734004</v>
      </c>
      <c r="R846" s="1615">
        <v>7.0009158430412901</v>
      </c>
      <c r="S846" s="1430">
        <v>6.8377471819259199</v>
      </c>
      <c r="T846" s="1561">
        <v>6.7327909132612902</v>
      </c>
    </row>
    <row r="847" spans="1:20">
      <c r="A847" t="s">
        <v>2598</v>
      </c>
      <c r="B847" s="6" t="str">
        <f>HYPERLINK("http://www.ncbi.nlm.nih.gov/gene/211712", "211712")</f>
        <v>211712</v>
      </c>
      <c r="C847" s="6" t="str">
        <f>HYPERLINK("http://www.ncbi.nlm.nih.gov/gene/5101", "5101")</f>
        <v>5101</v>
      </c>
      <c r="D847" t="str">
        <f>"Pcdh9"</f>
        <v>Pcdh9</v>
      </c>
      <c r="E847" t="s">
        <v>2599</v>
      </c>
      <c r="F847" t="s">
        <v>2600</v>
      </c>
      <c r="H847" s="520">
        <v>6</v>
      </c>
      <c r="I847" s="24">
        <v>3.8243933789922799</v>
      </c>
      <c r="J847" s="389">
        <v>3.5211117338525502</v>
      </c>
      <c r="K847" s="337">
        <v>3.3287651278994899</v>
      </c>
      <c r="L847" s="1993">
        <v>4.9588543812203696</v>
      </c>
      <c r="M847" s="761">
        <v>5.4380273272768198</v>
      </c>
      <c r="N847" s="675">
        <v>5.5502170875086003</v>
      </c>
      <c r="O847" s="1348">
        <v>3.9830925234123198</v>
      </c>
      <c r="P847" s="1337">
        <v>3.6170167217036999</v>
      </c>
      <c r="Q847" s="2404">
        <v>4.0744633466705196</v>
      </c>
      <c r="R847" s="933">
        <v>4.9407276586928699</v>
      </c>
      <c r="S847" s="973">
        <v>4.9882739554703104</v>
      </c>
      <c r="T847" s="940">
        <v>4.7702028236964198</v>
      </c>
    </row>
    <row r="848" spans="1:20">
      <c r="A848" t="s">
        <v>2601</v>
      </c>
      <c r="B848" s="6" t="str">
        <f>HYPERLINK("http://www.ncbi.nlm.nih.gov/gene/14368", "14368")</f>
        <v>14368</v>
      </c>
      <c r="C848" s="6" t="str">
        <f>HYPERLINK("http://www.ncbi.nlm.nih.gov/gene/8323", "8323")</f>
        <v>8323</v>
      </c>
      <c r="D848" t="str">
        <f>"Fzd6"</f>
        <v>Fzd6</v>
      </c>
      <c r="E848" t="s">
        <v>2602</v>
      </c>
      <c r="F848" t="s">
        <v>2616</v>
      </c>
      <c r="G848" t="s">
        <v>2617</v>
      </c>
      <c r="H848" s="520">
        <v>6</v>
      </c>
      <c r="I848" s="27">
        <v>5.2937136310075497</v>
      </c>
      <c r="J848" s="288">
        <v>5.0640509639918196</v>
      </c>
      <c r="K848" s="493">
        <v>4.8478908486575998</v>
      </c>
      <c r="L848" s="2510">
        <v>6.2865090326829902</v>
      </c>
      <c r="M848" s="1237">
        <v>6.3194434123252003</v>
      </c>
      <c r="N848" s="761">
        <v>6.3925755110156999</v>
      </c>
      <c r="O848" s="1279">
        <v>5.62045045361298</v>
      </c>
      <c r="P848" s="1029">
        <v>5.2181603505282297</v>
      </c>
      <c r="Q848" s="2041">
        <v>5.4090891901343703</v>
      </c>
      <c r="R848" s="961">
        <v>6.0183400887241403</v>
      </c>
      <c r="S848" s="1430">
        <v>5.983208837347</v>
      </c>
      <c r="T848" s="935">
        <v>5.9473863976131502</v>
      </c>
    </row>
    <row r="849" spans="1:20">
      <c r="A849" t="s">
        <v>2618</v>
      </c>
      <c r="B849" s="6" t="str">
        <f>HYPERLINK("http://www.ncbi.nlm.nih.gov/gene/383348", "383348")</f>
        <v>383348</v>
      </c>
      <c r="C849" s="6" t="str">
        <f>HYPERLINK("http://www.ncbi.nlm.nih.gov/gene/57528", "57528")</f>
        <v>57528</v>
      </c>
      <c r="D849" t="str">
        <f>"Kctd16"</f>
        <v>Kctd16</v>
      </c>
      <c r="E849" t="s">
        <v>2619</v>
      </c>
      <c r="F849" t="s">
        <v>2621</v>
      </c>
      <c r="H849" s="520">
        <v>6</v>
      </c>
      <c r="I849" s="24">
        <v>3.0995815110595899</v>
      </c>
      <c r="J849" s="290">
        <v>3.0108778018909801</v>
      </c>
      <c r="K849" s="175">
        <v>2.89565287218795</v>
      </c>
      <c r="L849" s="2401">
        <v>4.1068862320528101</v>
      </c>
      <c r="M849" s="979">
        <v>3.9631751975264602</v>
      </c>
      <c r="N849" s="617">
        <v>4.2974079118601702</v>
      </c>
      <c r="O849" s="1575">
        <v>3.0513430645390001</v>
      </c>
      <c r="P849" s="1167">
        <v>2.96083586819885</v>
      </c>
      <c r="Q849" s="2217">
        <v>3.2632582322943402</v>
      </c>
      <c r="R849" s="775">
        <v>3.7462082238461201</v>
      </c>
      <c r="S849" s="732">
        <v>3.6034106244484798</v>
      </c>
      <c r="T849" s="935">
        <v>3.7031176430383801</v>
      </c>
    </row>
    <row r="850" spans="1:20">
      <c r="A850" t="s">
        <v>2622</v>
      </c>
      <c r="B850" s="6" t="str">
        <f>HYPERLINK("http://www.ncbi.nlm.nih.gov/gene/382253", "382253")</f>
        <v>382253</v>
      </c>
      <c r="C850" s="6" t="str">
        <f>HYPERLINK("http://www.ncbi.nlm.nih.gov/gene/6792", "6792")</f>
        <v>6792</v>
      </c>
      <c r="D850" t="str">
        <f>"Cdkl5"</f>
        <v>Cdkl5</v>
      </c>
      <c r="E850" t="s">
        <v>2623</v>
      </c>
      <c r="F850" t="s">
        <v>2624</v>
      </c>
      <c r="H850" s="520">
        <v>6</v>
      </c>
      <c r="I850" s="127">
        <v>4.7381211364935201</v>
      </c>
      <c r="J850" s="492">
        <v>4.4474437801722502</v>
      </c>
      <c r="K850" s="253">
        <v>4.5109047418825403</v>
      </c>
      <c r="L850" s="2518">
        <v>5.8955548857031497</v>
      </c>
      <c r="M850" s="952">
        <v>5.60952961178777</v>
      </c>
      <c r="N850" s="1062">
        <v>6.3460132058137697</v>
      </c>
      <c r="O850" s="986">
        <v>4.8517649279850801</v>
      </c>
      <c r="P850" s="1181">
        <v>4.7622251013582</v>
      </c>
      <c r="Q850" s="2238">
        <v>4.8777801713452797</v>
      </c>
      <c r="R850" s="758">
        <v>5.5282061479426599</v>
      </c>
      <c r="S850" s="1484">
        <v>5.6519399455554398</v>
      </c>
      <c r="T850" s="1459">
        <v>5.5503765098877702</v>
      </c>
    </row>
    <row r="851" spans="1:20">
      <c r="A851" t="s">
        <v>2625</v>
      </c>
      <c r="B851" s="6" t="str">
        <f>HYPERLINK("http://www.ncbi.nlm.nih.gov/gene/271564", "271564")</f>
        <v>271564</v>
      </c>
      <c r="C851" s="6" t="str">
        <f>HYPERLINK("http://www.ncbi.nlm.nih.gov/gene/23230", "23230")</f>
        <v>23230</v>
      </c>
      <c r="D851" t="str">
        <f>"Vps13a"</f>
        <v>Vps13a</v>
      </c>
      <c r="E851" t="s">
        <v>2626</v>
      </c>
      <c r="F851" t="s">
        <v>2627</v>
      </c>
      <c r="H851" s="520">
        <v>6</v>
      </c>
      <c r="I851" s="60">
        <v>4.4151359895843996</v>
      </c>
      <c r="J851" s="295">
        <v>3.96750326216738</v>
      </c>
      <c r="K851" s="142">
        <v>4.2928606504836599</v>
      </c>
      <c r="L851" s="1990">
        <v>5.5742870952885601</v>
      </c>
      <c r="M851" s="753">
        <v>5.7520362737590798</v>
      </c>
      <c r="N851" s="590">
        <v>5.8157443154420898</v>
      </c>
      <c r="O851" s="1554">
        <v>4.1410162397583896</v>
      </c>
      <c r="P851" s="662">
        <v>4.5221895637335097</v>
      </c>
      <c r="Q851" s="2151">
        <v>4.6302623288769196</v>
      </c>
      <c r="R851" s="909">
        <v>5.3459129904046598</v>
      </c>
      <c r="S851" s="527">
        <v>5.37282644487669</v>
      </c>
      <c r="T851" s="1616">
        <v>5.0869833242950602</v>
      </c>
    </row>
    <row r="852" spans="1:20">
      <c r="A852" t="s">
        <v>2628</v>
      </c>
      <c r="B852" s="6" t="str">
        <f>HYPERLINK("http://www.ncbi.nlm.nih.gov/gene/68655", "68655")</f>
        <v>68655</v>
      </c>
      <c r="C852" s="6" t="str">
        <f>HYPERLINK("http://www.ncbi.nlm.nih.gov/gene/", "")</f>
        <v/>
      </c>
      <c r="D852" t="str">
        <f>"Fndc1"</f>
        <v>Fndc1</v>
      </c>
      <c r="E852" t="s">
        <v>2629</v>
      </c>
      <c r="F852" t="s">
        <v>2630</v>
      </c>
      <c r="H852" s="520">
        <v>6</v>
      </c>
      <c r="I852" s="34">
        <v>4.90351557416475</v>
      </c>
      <c r="J852" s="405">
        <v>4.26967842801972</v>
      </c>
      <c r="K852" s="472">
        <v>4.07542381348315</v>
      </c>
      <c r="L852" s="1990">
        <v>6.8024075681534901</v>
      </c>
      <c r="M852" s="559">
        <v>7.0424852637191</v>
      </c>
      <c r="N852" s="769">
        <v>7.0270579669436497</v>
      </c>
      <c r="O852" s="1048">
        <v>4.7926617634793898</v>
      </c>
      <c r="P852" s="708">
        <v>5.04199705649176</v>
      </c>
      <c r="Q852" s="2245">
        <v>4.99755683986628</v>
      </c>
      <c r="R852" s="1246">
        <v>6.7189092816718698</v>
      </c>
      <c r="S852" s="924">
        <v>6.3511681481848097</v>
      </c>
      <c r="T852" s="1553">
        <v>6.0819267539795696</v>
      </c>
    </row>
    <row r="853" spans="1:20">
      <c r="A853" t="s">
        <v>2631</v>
      </c>
      <c r="B853" s="6" t="str">
        <f>HYPERLINK("http://www.ncbi.nlm.nih.gov/gene/21873", "21873")</f>
        <v>21873</v>
      </c>
      <c r="C853" s="6" t="str">
        <f>HYPERLINK("http://www.ncbi.nlm.nih.gov/gene/9414", "9414")</f>
        <v>9414</v>
      </c>
      <c r="D853" t="str">
        <f>"Tjp2"</f>
        <v>Tjp2</v>
      </c>
      <c r="E853" t="s">
        <v>2632</v>
      </c>
      <c r="F853" t="s">
        <v>2633</v>
      </c>
      <c r="G853" t="s">
        <v>2024</v>
      </c>
      <c r="H853" s="520">
        <v>6</v>
      </c>
      <c r="I853" s="72">
        <v>5.35257759363967</v>
      </c>
      <c r="J853" s="468">
        <v>4.8833755294860604</v>
      </c>
      <c r="K853" s="232">
        <v>4.8781889320739698</v>
      </c>
      <c r="L853" s="2510">
        <v>6.2836638653222199</v>
      </c>
      <c r="M853" s="1252">
        <v>6.4243432804014704</v>
      </c>
      <c r="N853" s="657">
        <v>6.4740211363087798</v>
      </c>
      <c r="O853" s="1462">
        <v>5.0024206640399704</v>
      </c>
      <c r="P853" s="572">
        <v>5.2405468960281603</v>
      </c>
      <c r="Q853" s="2038">
        <v>5.2046192496335602</v>
      </c>
      <c r="R853" s="527">
        <v>6.0432062915784703</v>
      </c>
      <c r="S853" s="955">
        <v>5.8654229030969196</v>
      </c>
      <c r="T853" s="1611">
        <v>5.7972070142268697</v>
      </c>
    </row>
    <row r="854" spans="1:20">
      <c r="A854" t="s">
        <v>2634</v>
      </c>
      <c r="B854" s="6" t="str">
        <f>HYPERLINK("http://www.ncbi.nlm.nih.gov/gene/16370", "16370")</f>
        <v>16370</v>
      </c>
      <c r="C854" s="6" t="str">
        <f>HYPERLINK("http://www.ncbi.nlm.nih.gov/gene/", "")</f>
        <v/>
      </c>
      <c r="D854" t="str">
        <f>"Irs4"</f>
        <v>Irs4</v>
      </c>
      <c r="E854" t="s">
        <v>2635</v>
      </c>
      <c r="F854" t="s">
        <v>2636</v>
      </c>
      <c r="G854" t="s">
        <v>2637</v>
      </c>
      <c r="H854" s="520">
        <v>6</v>
      </c>
      <c r="I854" s="135">
        <v>3.0247139856935301</v>
      </c>
      <c r="J854" s="284">
        <v>2.6602086217918601</v>
      </c>
      <c r="K854" s="164">
        <v>2.77941030443252</v>
      </c>
      <c r="L854" s="1987">
        <v>5.7298104012835402</v>
      </c>
      <c r="M854" s="1182">
        <v>5.9830520245912302</v>
      </c>
      <c r="N854" s="1233">
        <v>6.0686543411035396</v>
      </c>
      <c r="O854" s="1009">
        <v>3.04048924362435</v>
      </c>
      <c r="P854" s="1367">
        <v>3.4256783777897999</v>
      </c>
      <c r="Q854" s="2246">
        <v>3.4862731399614502</v>
      </c>
      <c r="R854" s="975">
        <v>5.6144161589326202</v>
      </c>
      <c r="S854" s="1082">
        <v>6.0777302643455204</v>
      </c>
      <c r="T854" s="1617">
        <v>5.6230739861969399</v>
      </c>
    </row>
    <row r="855" spans="1:20">
      <c r="A855" t="s">
        <v>2638</v>
      </c>
      <c r="B855" s="6" t="str">
        <f>HYPERLINK("http://www.ncbi.nlm.nih.gov/gene/74513", "74513")</f>
        <v>74513</v>
      </c>
      <c r="C855" s="6" t="str">
        <f>HYPERLINK("http://www.ncbi.nlm.nih.gov/gene/81831", "81831")</f>
        <v>81831</v>
      </c>
      <c r="D855" t="str">
        <f>"Neto2"</f>
        <v>Neto2</v>
      </c>
      <c r="E855" t="s">
        <v>2639</v>
      </c>
      <c r="F855" t="s">
        <v>416</v>
      </c>
      <c r="H855" s="520">
        <v>6</v>
      </c>
      <c r="I855" s="210">
        <v>5.6855749000832496</v>
      </c>
      <c r="J855" s="270">
        <v>5.73181956109556</v>
      </c>
      <c r="K855" s="150">
        <v>5.6026773895439401</v>
      </c>
      <c r="L855" s="2519">
        <v>9.0917623839549009</v>
      </c>
      <c r="M855" s="1248">
        <v>8.9038416999809993</v>
      </c>
      <c r="N855" s="866">
        <v>9.2402109104284609</v>
      </c>
      <c r="O855" s="1366">
        <v>6.4360298596405903</v>
      </c>
      <c r="P855" s="1223">
        <v>6.4790252944846696</v>
      </c>
      <c r="Q855" s="2315">
        <v>6.3770217126175002</v>
      </c>
      <c r="R855" s="1220">
        <v>9.3876726771261492</v>
      </c>
      <c r="S855" s="855">
        <v>9.3306030614161202</v>
      </c>
      <c r="T855" s="1141">
        <v>9.3361615300584493</v>
      </c>
    </row>
    <row r="856" spans="1:20">
      <c r="A856" t="s">
        <v>2640</v>
      </c>
      <c r="B856" s="6" t="str">
        <f>HYPERLINK("http://www.ncbi.nlm.nih.gov/gene/18163", "18163")</f>
        <v>18163</v>
      </c>
      <c r="C856" s="6" t="str">
        <f>HYPERLINK("http://www.ncbi.nlm.nih.gov/gene/1501", "1501")</f>
        <v>1501</v>
      </c>
      <c r="D856" t="str">
        <f>"Ctnnd2"</f>
        <v>Ctnnd2</v>
      </c>
      <c r="E856" t="s">
        <v>2641</v>
      </c>
      <c r="F856" t="s">
        <v>2642</v>
      </c>
      <c r="H856" s="520">
        <v>6</v>
      </c>
      <c r="I856" s="321">
        <v>4.9309997954048397</v>
      </c>
      <c r="J856" s="288">
        <v>4.7098528620793001</v>
      </c>
      <c r="K856" s="306">
        <v>4.6440767212935299</v>
      </c>
      <c r="L856" s="2416">
        <v>7.1311710242914996</v>
      </c>
      <c r="M856" s="704">
        <v>7.1734509262771597</v>
      </c>
      <c r="N856" s="634">
        <v>7.3310527262062299</v>
      </c>
      <c r="O856" s="1192">
        <v>5.0686496855641501</v>
      </c>
      <c r="P856" s="662">
        <v>5.4042443576500201</v>
      </c>
      <c r="Q856" s="2081">
        <v>5.3460649172743597</v>
      </c>
      <c r="R856" s="749">
        <v>7.4392655436565303</v>
      </c>
      <c r="S856" s="973">
        <v>6.9553548092981696</v>
      </c>
      <c r="T856" s="1276">
        <v>7.1341318672227398</v>
      </c>
    </row>
    <row r="857" spans="1:20">
      <c r="A857" t="s">
        <v>2643</v>
      </c>
      <c r="B857" s="6" t="str">
        <f>HYPERLINK("http://www.ncbi.nlm.nih.gov/gene/217588", "217588")</f>
        <v>217588</v>
      </c>
      <c r="C857" s="6" t="str">
        <f>HYPERLINK("http://www.ncbi.nlm.nih.gov/gene/51562", "51562")</f>
        <v>51562</v>
      </c>
      <c r="D857" t="str">
        <f>"Mbip"</f>
        <v>Mbip</v>
      </c>
      <c r="E857" t="s">
        <v>2644</v>
      </c>
      <c r="F857" t="s">
        <v>2645</v>
      </c>
      <c r="H857" s="520">
        <v>6</v>
      </c>
      <c r="I857" s="210">
        <v>6.76184216318536</v>
      </c>
      <c r="J857" s="250">
        <v>6.9255220543369402</v>
      </c>
      <c r="K857" s="237">
        <v>7.0074240548580304</v>
      </c>
      <c r="L857" s="2517">
        <v>8.9030291291512906</v>
      </c>
      <c r="M857" s="1140">
        <v>8.9212071825391899</v>
      </c>
      <c r="N857" s="749">
        <v>9.0507525191966192</v>
      </c>
      <c r="O857" s="1064">
        <v>6.9663969937467396</v>
      </c>
      <c r="P857" s="567">
        <v>7.0402287103403998</v>
      </c>
      <c r="Q857" s="2097">
        <v>7.1091248102515001</v>
      </c>
      <c r="R857" s="1465">
        <v>8.7739264935086805</v>
      </c>
      <c r="S857" s="912">
        <v>8.6804945159342495</v>
      </c>
      <c r="T857" s="957">
        <v>8.8009819582975606</v>
      </c>
    </row>
    <row r="858" spans="1:20">
      <c r="A858" t="s">
        <v>2646</v>
      </c>
      <c r="B858" s="6" t="str">
        <f>HYPERLINK("http://www.ncbi.nlm.nih.gov/gene/12286", "12286")</f>
        <v>12286</v>
      </c>
      <c r="C858" s="6" t="str">
        <f>HYPERLINK("http://www.ncbi.nlm.nih.gov/gene/773", "773")</f>
        <v>773</v>
      </c>
      <c r="D858" t="str">
        <f>"Cacna1a"</f>
        <v>Cacna1a</v>
      </c>
      <c r="E858" t="s">
        <v>2647</v>
      </c>
      <c r="F858" t="s">
        <v>2648</v>
      </c>
      <c r="G858" t="s">
        <v>2649</v>
      </c>
      <c r="H858" s="520">
        <v>6</v>
      </c>
      <c r="I858" s="43">
        <v>3.9944757143207399</v>
      </c>
      <c r="J858" s="212">
        <v>3.3232132486972898</v>
      </c>
      <c r="K858" s="226">
        <v>3.3949559647552898</v>
      </c>
      <c r="L858" s="2520">
        <v>6.9549555062364803</v>
      </c>
      <c r="M858" s="979">
        <v>6.8718778817241599</v>
      </c>
      <c r="N858" s="1120">
        <v>7.1416287225244304</v>
      </c>
      <c r="O858" s="1086">
        <v>3.6878255147040502</v>
      </c>
      <c r="P858" s="1029">
        <v>3.6716575990112901</v>
      </c>
      <c r="Q858" s="2148">
        <v>3.6261888508573898</v>
      </c>
      <c r="R858" s="963">
        <v>6.7863304766035899</v>
      </c>
      <c r="S858" s="1457">
        <v>6.3600544890292099</v>
      </c>
      <c r="T858" s="953">
        <v>6.6088892056240098</v>
      </c>
    </row>
    <row r="859" spans="1:20">
      <c r="A859" t="s">
        <v>2650</v>
      </c>
      <c r="B859" s="6" t="str">
        <f>HYPERLINK("http://www.ncbi.nlm.nih.gov/gene/19885", "19885")</f>
        <v>19885</v>
      </c>
      <c r="C859" s="6" t="str">
        <f>HYPERLINK("http://www.ncbi.nlm.nih.gov/gene/6097", "6097")</f>
        <v>6097</v>
      </c>
      <c r="D859" t="str">
        <f>"Rorc"</f>
        <v>Rorc</v>
      </c>
      <c r="E859" t="s">
        <v>2651</v>
      </c>
      <c r="F859" t="s">
        <v>2652</v>
      </c>
      <c r="G859" t="s">
        <v>1544</v>
      </c>
      <c r="H859" s="520">
        <v>6</v>
      </c>
      <c r="I859" s="221">
        <v>3.8496760012028499</v>
      </c>
      <c r="J859" s="468">
        <v>3.6476931539043198</v>
      </c>
      <c r="K859" s="243">
        <v>3.5273639776835499</v>
      </c>
      <c r="L859" s="2521">
        <v>5.1040681206512</v>
      </c>
      <c r="M859" s="1140">
        <v>5.1420001375620004</v>
      </c>
      <c r="N859" s="542">
        <v>5.1584504278133902</v>
      </c>
      <c r="O859" s="1093">
        <v>4.2484560704002297</v>
      </c>
      <c r="P859" s="992">
        <v>3.9002860036329499</v>
      </c>
      <c r="Q859" s="2040">
        <v>3.9388975978237002</v>
      </c>
      <c r="R859" s="536">
        <v>5.0042993083392604</v>
      </c>
      <c r="S859" s="844">
        <v>4.9480790935597403</v>
      </c>
      <c r="T859" s="1618">
        <v>5.1357896045098004</v>
      </c>
    </row>
    <row r="860" spans="1:20">
      <c r="A860" t="s">
        <v>2653</v>
      </c>
      <c r="B860" s="6" t="str">
        <f>HYPERLINK("http://www.ncbi.nlm.nih.gov/gene/75767", "75767")</f>
        <v>75767</v>
      </c>
      <c r="C860" s="6" t="str">
        <f>HYPERLINK("http://www.ncbi.nlm.nih.gov/gene/80223", "80223")</f>
        <v>80223</v>
      </c>
      <c r="D860" t="str">
        <f>"Rab11fip1"</f>
        <v>Rab11fip1</v>
      </c>
      <c r="E860" t="s">
        <v>2654</v>
      </c>
      <c r="F860" t="s">
        <v>2655</v>
      </c>
      <c r="G860" t="s">
        <v>1290</v>
      </c>
      <c r="H860" s="520">
        <v>6</v>
      </c>
      <c r="I860" s="27">
        <v>4.4208702620109204</v>
      </c>
      <c r="J860" s="306">
        <v>4.1503043647433104</v>
      </c>
      <c r="K860" s="493">
        <v>3.9519705348966099</v>
      </c>
      <c r="L860" s="2509">
        <v>5.4638623802774902</v>
      </c>
      <c r="M860" s="542">
        <v>5.4436010494798603</v>
      </c>
      <c r="N860" s="858">
        <v>5.4887338783891098</v>
      </c>
      <c r="O860" s="1001">
        <v>4.58809119964942</v>
      </c>
      <c r="P860" s="549">
        <v>4.5911677780205098</v>
      </c>
      <c r="Q860" s="2246">
        <v>4.4847072973155004</v>
      </c>
      <c r="R860" s="714">
        <v>5.55005733947318</v>
      </c>
      <c r="S860" s="1454">
        <v>5.0405621142789503</v>
      </c>
      <c r="T860" s="935">
        <v>5.1182007786025503</v>
      </c>
    </row>
    <row r="861" spans="1:20">
      <c r="A861" t="s">
        <v>2656</v>
      </c>
      <c r="B861" s="6" t="str">
        <f>HYPERLINK("http://www.ncbi.nlm.nih.gov/gene/20732", "20732")</f>
        <v>20732</v>
      </c>
      <c r="C861" s="6" t="str">
        <f>HYPERLINK("http://www.ncbi.nlm.nih.gov/gene/6692", "6692")</f>
        <v>6692</v>
      </c>
      <c r="D861" t="str">
        <f>"Spint1"</f>
        <v>Spint1</v>
      </c>
      <c r="E861" t="s">
        <v>2657</v>
      </c>
      <c r="F861" t="s">
        <v>2658</v>
      </c>
      <c r="H861" s="520">
        <v>6</v>
      </c>
      <c r="I861" s="263">
        <v>3.07538772763519</v>
      </c>
      <c r="J861" s="149">
        <v>4.0381768475554702</v>
      </c>
      <c r="K861" s="232">
        <v>3.3149666016467898</v>
      </c>
      <c r="L861" s="1987">
        <v>4.91927731241333</v>
      </c>
      <c r="M861" s="958">
        <v>5.1240547268955696</v>
      </c>
      <c r="N861" s="686">
        <v>5.4158286418304602</v>
      </c>
      <c r="O861" s="1043">
        <v>3.82338552168269</v>
      </c>
      <c r="P861" s="1037">
        <v>3.70475371868213</v>
      </c>
      <c r="Q861" s="2462">
        <v>3.6357637192229899</v>
      </c>
      <c r="R861" s="955">
        <v>4.57894024306042</v>
      </c>
      <c r="S861" s="844">
        <v>4.80718008971317</v>
      </c>
      <c r="T861" s="1136">
        <v>4.7244287419138598</v>
      </c>
    </row>
    <row r="862" spans="1:20">
      <c r="A862" t="s">
        <v>2659</v>
      </c>
      <c r="B862" s="6" t="str">
        <f>HYPERLINK("http://www.ncbi.nlm.nih.gov/gene/74284", "74284")</f>
        <v>74284</v>
      </c>
      <c r="C862" s="6" t="str">
        <f>HYPERLINK("http://www.ncbi.nlm.nih.gov/gene/", "")</f>
        <v/>
      </c>
      <c r="D862" t="str">
        <f>"1700086L19Rik"</f>
        <v>1700086L19Rik</v>
      </c>
      <c r="E862" t="s">
        <v>2660</v>
      </c>
      <c r="F862" t="s">
        <v>90</v>
      </c>
      <c r="H862" s="520">
        <v>6</v>
      </c>
      <c r="I862" s="270">
        <v>2.6809216378877498</v>
      </c>
      <c r="J862" s="160">
        <v>3.2764792117046699</v>
      </c>
      <c r="K862" s="122">
        <v>2.7653468677709601</v>
      </c>
      <c r="L862" s="2522">
        <v>5.1739031603028698</v>
      </c>
      <c r="M862" s="753">
        <v>5.4154999574904004</v>
      </c>
      <c r="N862" s="769">
        <v>5.3444045794557198</v>
      </c>
      <c r="O862" s="1548">
        <v>2.9884397623581802</v>
      </c>
      <c r="P862" s="1029">
        <v>2.9285063954966999</v>
      </c>
      <c r="Q862" s="2329">
        <v>2.9773341735440599</v>
      </c>
      <c r="R862" s="1251">
        <v>4.0669229369977904</v>
      </c>
      <c r="S862" s="947">
        <v>5.0671173552087296</v>
      </c>
      <c r="T862" s="1493">
        <v>4.86077612628105</v>
      </c>
    </row>
    <row r="863" spans="1:20">
      <c r="A863" t="s">
        <v>2661</v>
      </c>
      <c r="B863" s="6" t="str">
        <f>HYPERLINK("http://www.ncbi.nlm.nih.gov/gene/12550", "12550")</f>
        <v>12550</v>
      </c>
      <c r="C863" s="6" t="str">
        <f>HYPERLINK("http://www.ncbi.nlm.nih.gov/gene/999", "999")</f>
        <v>999</v>
      </c>
      <c r="D863" t="str">
        <f>"Cdh1"</f>
        <v>Cdh1</v>
      </c>
      <c r="E863" t="s">
        <v>2662</v>
      </c>
      <c r="F863" t="s">
        <v>2663</v>
      </c>
      <c r="G863" t="s">
        <v>2677</v>
      </c>
      <c r="H863" s="520">
        <v>6</v>
      </c>
      <c r="I863" s="127">
        <v>4.0104529553318402</v>
      </c>
      <c r="J863" s="299">
        <v>3.86825659175748</v>
      </c>
      <c r="K863" s="39">
        <v>3.9221771346449401</v>
      </c>
      <c r="L863" s="2522">
        <v>5.5074881664800497</v>
      </c>
      <c r="M863" s="855">
        <v>5.4567182933849798</v>
      </c>
      <c r="N863" s="707">
        <v>5.8359139293763702</v>
      </c>
      <c r="O863" s="1499">
        <v>4.0147094327070496</v>
      </c>
      <c r="P863" s="876">
        <v>3.9984196334504101</v>
      </c>
      <c r="Q863" s="2126">
        <v>3.6892893781514902</v>
      </c>
      <c r="R863" s="1414">
        <v>5.1157391393470899</v>
      </c>
      <c r="S863" s="888">
        <v>5.28506527342351</v>
      </c>
      <c r="T863" s="1619">
        <v>5.1464681522602804</v>
      </c>
    </row>
    <row r="864" spans="1:20">
      <c r="A864" t="s">
        <v>2678</v>
      </c>
      <c r="B864" s="6" t="str">
        <f>HYPERLINK("http://www.ncbi.nlm.nih.gov/gene/105439", "105439")</f>
        <v>105439</v>
      </c>
      <c r="C864" s="6" t="str">
        <f>HYPERLINK("http://www.ncbi.nlm.nih.gov/gene/122060", "122060")</f>
        <v>122060</v>
      </c>
      <c r="D864" t="str">
        <f>"Slain1"</f>
        <v>Slain1</v>
      </c>
      <c r="E864" t="s">
        <v>2679</v>
      </c>
      <c r="F864" t="s">
        <v>90</v>
      </c>
      <c r="H864" s="520">
        <v>6</v>
      </c>
      <c r="I864" s="195">
        <v>4.0980568639535102</v>
      </c>
      <c r="J864" s="39">
        <v>4.0692113108530297</v>
      </c>
      <c r="K864" s="321">
        <v>4.0030621862684397</v>
      </c>
      <c r="L864" s="2415">
        <v>5.8050043480243696</v>
      </c>
      <c r="M864" s="904">
        <v>5.6442584825033899</v>
      </c>
      <c r="N864" s="742">
        <v>5.7229977979121802</v>
      </c>
      <c r="O864" s="1043">
        <v>4.3346360399163597</v>
      </c>
      <c r="P864" s="662">
        <v>4.32555083682273</v>
      </c>
      <c r="Q864" s="2523">
        <v>3.6543971403091899</v>
      </c>
      <c r="R864" s="820">
        <v>5.1032952191279897</v>
      </c>
      <c r="S864" s="895">
        <v>5.3832921306874004</v>
      </c>
      <c r="T864" s="982">
        <v>5.31208206671693</v>
      </c>
    </row>
    <row r="865" spans="1:20">
      <c r="A865" t="s">
        <v>2680</v>
      </c>
      <c r="B865" s="6" t="str">
        <f>HYPERLINK("http://www.ncbi.nlm.nih.gov/gene/56318", "56318")</f>
        <v>56318</v>
      </c>
      <c r="C865" s="6" t="str">
        <f>HYPERLINK("http://www.ncbi.nlm.nih.gov/gene/55", "55")</f>
        <v>55</v>
      </c>
      <c r="D865" t="str">
        <f>"Acpp"</f>
        <v>Acpp</v>
      </c>
      <c r="E865" t="s">
        <v>2681</v>
      </c>
      <c r="F865" t="s">
        <v>2664</v>
      </c>
      <c r="G865" t="s">
        <v>2665</v>
      </c>
      <c r="H865" s="520">
        <v>6</v>
      </c>
      <c r="I865" s="142">
        <v>2.8447001393709099</v>
      </c>
      <c r="J865" s="141">
        <v>3.0937503635094599</v>
      </c>
      <c r="K865" s="164">
        <v>2.6700146300130299</v>
      </c>
      <c r="L865" s="2487">
        <v>5.0842051853258603</v>
      </c>
      <c r="M865" s="1411">
        <v>4.3183969482612898</v>
      </c>
      <c r="N865" s="753">
        <v>4.7007452047077001</v>
      </c>
      <c r="O865" s="1499">
        <v>2.9561359907492601</v>
      </c>
      <c r="P865" s="872">
        <v>2.92576045655629</v>
      </c>
      <c r="Q865" s="2330">
        <v>2.80743865385443</v>
      </c>
      <c r="R865" s="770">
        <v>3.9505144927265499</v>
      </c>
      <c r="S865" s="961">
        <v>4.1203597840299402</v>
      </c>
      <c r="T865" s="1621">
        <v>4.0394651710846503</v>
      </c>
    </row>
    <row r="866" spans="1:20">
      <c r="A866" t="s">
        <v>2666</v>
      </c>
      <c r="B866" s="6" t="str">
        <f>HYPERLINK("http://www.ncbi.nlm.nih.gov/gene/217480", "217480")</f>
        <v>217480</v>
      </c>
      <c r="C866" s="6" t="str">
        <f>HYPERLINK("http://www.ncbi.nlm.nih.gov/gene/1607", "1607")</f>
        <v>1607</v>
      </c>
      <c r="D866" t="str">
        <f>"Dgkb"</f>
        <v>Dgkb</v>
      </c>
      <c r="E866" t="s">
        <v>2667</v>
      </c>
      <c r="F866" t="s">
        <v>2668</v>
      </c>
      <c r="G866" t="s">
        <v>2669</v>
      </c>
      <c r="H866" s="520">
        <v>6</v>
      </c>
      <c r="I866" s="312">
        <v>2.5425499142411199</v>
      </c>
      <c r="J866" s="233">
        <v>2.5913854347898999</v>
      </c>
      <c r="K866" s="299">
        <v>2.56195801378336</v>
      </c>
      <c r="L866" s="2410">
        <v>4.9914255675714196</v>
      </c>
      <c r="M866" s="1170">
        <v>4.6366736530610204</v>
      </c>
      <c r="N866" s="553">
        <v>4.8196743643223998</v>
      </c>
      <c r="O866" s="1456">
        <v>2.4697089157694299</v>
      </c>
      <c r="P866" s="1002">
        <v>2.8943119977882898</v>
      </c>
      <c r="Q866" s="2477">
        <v>2.6686207928419199</v>
      </c>
      <c r="R866" s="758">
        <v>4.0814385427359703</v>
      </c>
      <c r="S866" s="881">
        <v>4.5110143625869297</v>
      </c>
      <c r="T866" s="1498">
        <v>4.1524220632619002</v>
      </c>
    </row>
    <row r="867" spans="1:20">
      <c r="A867" t="s">
        <v>2670</v>
      </c>
      <c r="B867" s="6" t="str">
        <f>HYPERLINK("http://www.ncbi.nlm.nih.gov/gene/66871", "66871")</f>
        <v>66871</v>
      </c>
      <c r="C867" s="6" t="str">
        <f>HYPERLINK("http://www.ncbi.nlm.nih.gov/gene/144402", "144402")</f>
        <v>144402</v>
      </c>
      <c r="D867" t="str">
        <f>"Cpne8"</f>
        <v>Cpne8</v>
      </c>
      <c r="E867" t="s">
        <v>2671</v>
      </c>
      <c r="F867" t="s">
        <v>90</v>
      </c>
      <c r="H867" s="520">
        <v>6</v>
      </c>
      <c r="I867" s="135">
        <v>4.7260704103178801</v>
      </c>
      <c r="J867" s="130">
        <v>4.8680766573102803</v>
      </c>
      <c r="K867" s="46">
        <v>5.1883398185365497</v>
      </c>
      <c r="L867" s="2499">
        <v>8.0081146434586401</v>
      </c>
      <c r="M867" s="919">
        <v>8.0501849584219904</v>
      </c>
      <c r="N867" s="753">
        <v>8.2071299473515005</v>
      </c>
      <c r="O867" s="1622">
        <v>4.4560205654687097</v>
      </c>
      <c r="P867" s="1289">
        <v>4.7481323983743797</v>
      </c>
      <c r="Q867" s="2142">
        <v>4.8116382941493798</v>
      </c>
      <c r="R867" s="842">
        <v>7.2383946704853104</v>
      </c>
      <c r="S867" s="895">
        <v>7.4140170760823398</v>
      </c>
      <c r="T867" s="1498">
        <v>7.1052987463144097</v>
      </c>
    </row>
    <row r="868" spans="1:20">
      <c r="A868" t="s">
        <v>2672</v>
      </c>
      <c r="B868" s="6" t="str">
        <f>HYPERLINK("http://www.ncbi.nlm.nih.gov/gene/224792", "224792")</f>
        <v>224792</v>
      </c>
      <c r="C868" s="6" t="str">
        <f>HYPERLINK("http://www.ncbi.nlm.nih.gov/gene/221395", "221395")</f>
        <v>221395</v>
      </c>
      <c r="D868" t="str">
        <f>"Gpr116"</f>
        <v>Gpr116</v>
      </c>
      <c r="E868" t="s">
        <v>2673</v>
      </c>
      <c r="F868" t="s">
        <v>2686</v>
      </c>
      <c r="H868" s="520">
        <v>6</v>
      </c>
      <c r="I868" s="248">
        <v>2.99496763971224</v>
      </c>
      <c r="J868" s="130">
        <v>3.0152154151113799</v>
      </c>
      <c r="K868" s="311">
        <v>3.2007115708214799</v>
      </c>
      <c r="L868" s="2518">
        <v>6.7741050852008904</v>
      </c>
      <c r="M868" s="1140">
        <v>6.6298574925849003</v>
      </c>
      <c r="N868" s="714">
        <v>7.0309913135427804</v>
      </c>
      <c r="O868" s="1570">
        <v>2.578280686587</v>
      </c>
      <c r="P868" s="1342">
        <v>2.7494741107957701</v>
      </c>
      <c r="Q868" s="2244">
        <v>2.94942451117435</v>
      </c>
      <c r="R868" s="888">
        <v>6.21228927439304</v>
      </c>
      <c r="S868" s="1475">
        <v>6.2009286997867799</v>
      </c>
      <c r="T868" s="1495">
        <v>6.1493860233032596</v>
      </c>
    </row>
    <row r="869" spans="1:20">
      <c r="A869" t="s">
        <v>2687</v>
      </c>
      <c r="B869" s="6" t="str">
        <f>HYPERLINK("http://www.ncbi.nlm.nih.gov/gene/71207", "71207")</f>
        <v>71207</v>
      </c>
      <c r="C869" s="6" t="str">
        <f>HYPERLINK("http://www.ncbi.nlm.nih.gov/gene/11163", "11163")</f>
        <v>11163</v>
      </c>
      <c r="D869" t="str">
        <f>"Nudt4"</f>
        <v>Nudt4</v>
      </c>
      <c r="E869" t="s">
        <v>2688</v>
      </c>
      <c r="F869" t="s">
        <v>2674</v>
      </c>
      <c r="H869" s="520">
        <v>6</v>
      </c>
      <c r="I869" s="385">
        <v>8.4896681824936504</v>
      </c>
      <c r="J869" s="342">
        <v>8.4816229475654108</v>
      </c>
      <c r="K869" s="150">
        <v>8.5442946539370599</v>
      </c>
      <c r="L869" s="2429">
        <v>9.5997145546474307</v>
      </c>
      <c r="M869" s="755">
        <v>9.5698297263549907</v>
      </c>
      <c r="N869" s="728">
        <v>9.5570502620557605</v>
      </c>
      <c r="O869" s="1221">
        <v>8.9236805004312494</v>
      </c>
      <c r="P869" s="687">
        <v>8.9060274130410502</v>
      </c>
      <c r="Q869" s="2258">
        <v>8.9785410724113603</v>
      </c>
      <c r="R869" s="528">
        <v>9.0058848471691899</v>
      </c>
      <c r="S869" s="827">
        <v>9.2049792902210505</v>
      </c>
      <c r="T869" s="1578">
        <v>9.1289838354258794</v>
      </c>
    </row>
    <row r="870" spans="1:20">
      <c r="A870" t="s">
        <v>2675</v>
      </c>
      <c r="B870" s="6" t="str">
        <f>HYPERLINK("http://www.ncbi.nlm.nih.gov/gene/108099", "108099")</f>
        <v>108099</v>
      </c>
      <c r="C870" s="6" t="str">
        <f>HYPERLINK("http://www.ncbi.nlm.nih.gov/gene/51422", "51422")</f>
        <v>51422</v>
      </c>
      <c r="D870" t="str">
        <f>"Prkag2"</f>
        <v>Prkag2</v>
      </c>
      <c r="E870" t="s">
        <v>2676</v>
      </c>
      <c r="F870" t="s">
        <v>2682</v>
      </c>
      <c r="G870" t="s">
        <v>2683</v>
      </c>
      <c r="H870" s="520">
        <v>6</v>
      </c>
      <c r="I870" s="342">
        <v>4.5134061358088697</v>
      </c>
      <c r="J870" s="288">
        <v>4.5958367693388498</v>
      </c>
      <c r="K870" s="122">
        <v>4.6692426269192904</v>
      </c>
      <c r="L870" s="2440">
        <v>5.8585319886438798</v>
      </c>
      <c r="M870" s="558">
        <v>5.91305396555006</v>
      </c>
      <c r="N870" s="565">
        <v>6.0376443707243403</v>
      </c>
      <c r="O870" s="1256">
        <v>5.0396404951131197</v>
      </c>
      <c r="P870" s="669">
        <v>4.9839639313644302</v>
      </c>
      <c r="Q870" s="2191">
        <v>5.1760234038530601</v>
      </c>
      <c r="R870" s="629">
        <v>5.0591743653410797</v>
      </c>
      <c r="S870" s="1454">
        <v>5.3793963701097596</v>
      </c>
      <c r="T870" s="821">
        <v>5.3184120247588504</v>
      </c>
    </row>
    <row r="871" spans="1:20">
      <c r="A871" t="s">
        <v>2684</v>
      </c>
      <c r="B871" s="6" t="str">
        <f>HYPERLINK("http://www.ncbi.nlm.nih.gov/gene/79221", "79221")</f>
        <v>79221</v>
      </c>
      <c r="C871" s="6" t="str">
        <f>HYPERLINK("http://www.ncbi.nlm.nih.gov/gene/9734", "9734")</f>
        <v>9734</v>
      </c>
      <c r="D871" t="str">
        <f>"Hdac9"</f>
        <v>Hdac9</v>
      </c>
      <c r="E871" t="s">
        <v>2685</v>
      </c>
      <c r="F871" t="s">
        <v>2689</v>
      </c>
      <c r="H871" s="520">
        <v>6</v>
      </c>
      <c r="I871" s="253">
        <v>5.4922174911302797</v>
      </c>
      <c r="J871" s="228">
        <v>5.3969731067527</v>
      </c>
      <c r="K871" s="122">
        <v>5.6008958617122104</v>
      </c>
      <c r="L871" s="2401">
        <v>7.5311250235235603</v>
      </c>
      <c r="M871" s="837">
        <v>7.6785803968912498</v>
      </c>
      <c r="N871" s="586">
        <v>7.7256086882102597</v>
      </c>
      <c r="O871" s="986">
        <v>5.95684851521324</v>
      </c>
      <c r="P871" s="1065">
        <v>6.2448346643509396</v>
      </c>
      <c r="Q871" s="2254">
        <v>6.2717156767052797</v>
      </c>
      <c r="R871" s="746">
        <v>6.45162570967564</v>
      </c>
      <c r="S871" s="1251">
        <v>6.5414076838175799</v>
      </c>
      <c r="T871" s="1611">
        <v>6.71178362012762</v>
      </c>
    </row>
    <row r="872" spans="1:20">
      <c r="A872" t="s">
        <v>2695</v>
      </c>
      <c r="B872" s="6" t="str">
        <f>HYPERLINK("http://www.ncbi.nlm.nih.gov/gene/63993", "63993")</f>
        <v>63993</v>
      </c>
      <c r="C872" s="6" t="str">
        <f>HYPERLINK("http://www.ncbi.nlm.nih.gov/gene/60482", "60482")</f>
        <v>60482</v>
      </c>
      <c r="D872" t="str">
        <f>"Slc5a7"</f>
        <v>Slc5a7</v>
      </c>
      <c r="E872" t="s">
        <v>2696</v>
      </c>
      <c r="F872" t="s">
        <v>2697</v>
      </c>
      <c r="H872" s="520">
        <v>6</v>
      </c>
      <c r="I872" s="350">
        <v>4.8260362625413098</v>
      </c>
      <c r="J872" s="349">
        <v>4.5817394915085403</v>
      </c>
      <c r="K872" s="130">
        <v>5.00943341804975</v>
      </c>
      <c r="L872" s="2410">
        <v>6.9573493012679197</v>
      </c>
      <c r="M872" s="693">
        <v>7.0494066512874003</v>
      </c>
      <c r="N872" s="679">
        <v>7.1108556703295296</v>
      </c>
      <c r="O872" s="989">
        <v>5.3713498306095504</v>
      </c>
      <c r="P872" s="543">
        <v>5.4382543256103499</v>
      </c>
      <c r="Q872" s="2262">
        <v>5.43218417216407</v>
      </c>
      <c r="R872" s="705">
        <v>5.6142088420873497</v>
      </c>
      <c r="S872" s="916">
        <v>5.9705935001685599</v>
      </c>
      <c r="T872" s="1569">
        <v>5.9352198067091999</v>
      </c>
    </row>
    <row r="873" spans="1:20">
      <c r="A873" t="s">
        <v>2698</v>
      </c>
      <c r="B873" s="6" t="str">
        <f>HYPERLINK("http://www.ncbi.nlm.nih.gov/gene/19088", "19088")</f>
        <v>19088</v>
      </c>
      <c r="C873" s="6" t="str">
        <f>HYPERLINK("http://www.ncbi.nlm.nih.gov/gene/5577", "5577")</f>
        <v>5577</v>
      </c>
      <c r="D873" t="str">
        <f>"Prkar2b"</f>
        <v>Prkar2b</v>
      </c>
      <c r="E873" t="s">
        <v>2699</v>
      </c>
      <c r="F873" t="s">
        <v>2690</v>
      </c>
      <c r="G873" t="s">
        <v>2703</v>
      </c>
      <c r="H873" s="520">
        <v>6</v>
      </c>
      <c r="I873" s="122">
        <v>5.9632938689144703</v>
      </c>
      <c r="J873" s="253">
        <v>5.8520925704182902</v>
      </c>
      <c r="K873" s="260">
        <v>5.7851403420689804</v>
      </c>
      <c r="L873" s="2417">
        <v>7.9465899082051097</v>
      </c>
      <c r="M873" s="631">
        <v>7.95905485762965</v>
      </c>
      <c r="N873" s="570">
        <v>8.1010878451489603</v>
      </c>
      <c r="O873" s="1370">
        <v>6.3867357608950197</v>
      </c>
      <c r="P873" s="532">
        <v>6.4096765114147303</v>
      </c>
      <c r="Q873" s="2069">
        <v>6.4636836492022303</v>
      </c>
      <c r="R873" s="739">
        <v>7.0146323880754897</v>
      </c>
      <c r="S873" s="770">
        <v>7.1665188804677697</v>
      </c>
      <c r="T873" s="1578">
        <v>7.0400114013565203</v>
      </c>
    </row>
    <row r="874" spans="1:20">
      <c r="A874" t="s">
        <v>2704</v>
      </c>
      <c r="B874" s="6" t="str">
        <f>HYPERLINK("http://www.ncbi.nlm.nih.gov/gene/22350", "22350")</f>
        <v>22350</v>
      </c>
      <c r="C874" s="6" t="str">
        <f>HYPERLINK("http://www.ncbi.nlm.nih.gov/gene/7430", "7430")</f>
        <v>7430</v>
      </c>
      <c r="D874" t="str">
        <f>"Ezr"</f>
        <v>Ezr</v>
      </c>
      <c r="E874" t="s">
        <v>2705</v>
      </c>
      <c r="F874" t="s">
        <v>2706</v>
      </c>
      <c r="G874" t="s">
        <v>2707</v>
      </c>
      <c r="H874" s="520">
        <v>6</v>
      </c>
      <c r="I874" s="232">
        <v>6.4985208382119204</v>
      </c>
      <c r="J874" s="350">
        <v>6.6187377583539799</v>
      </c>
      <c r="K874" s="65">
        <v>6.6084584345036097</v>
      </c>
      <c r="L874" s="2399">
        <v>8.6098394058088203</v>
      </c>
      <c r="M874" s="1164">
        <v>8.6567126671510497</v>
      </c>
      <c r="N874" s="576">
        <v>8.81437261191118</v>
      </c>
      <c r="O874" s="1279">
        <v>7.3889716698668098</v>
      </c>
      <c r="P874" s="600">
        <v>7.1911868823883802</v>
      </c>
      <c r="Q874" s="2038">
        <v>6.9452287351050597</v>
      </c>
      <c r="R874" s="1251">
        <v>7.5904688880280196</v>
      </c>
      <c r="S874" s="838">
        <v>7.66442405103993</v>
      </c>
      <c r="T874" s="839">
        <v>7.5707156006282901</v>
      </c>
    </row>
    <row r="875" spans="1:20">
      <c r="A875" t="s">
        <v>2708</v>
      </c>
      <c r="B875" s="6" t="str">
        <f>HYPERLINK("http://www.ncbi.nlm.nih.gov/gene/235604", "235604")</f>
        <v>235604</v>
      </c>
      <c r="C875" s="6" t="str">
        <f>HYPERLINK("http://www.ncbi.nlm.nih.gov/gene/79012", "79012")</f>
        <v>79012</v>
      </c>
      <c r="D875" t="str">
        <f>"Camkv"</f>
        <v>Camkv</v>
      </c>
      <c r="E875" t="s">
        <v>2709</v>
      </c>
      <c r="F875" t="s">
        <v>2710</v>
      </c>
      <c r="H875" s="520">
        <v>6</v>
      </c>
      <c r="I875" s="416">
        <v>4.08926359785172</v>
      </c>
      <c r="J875" s="75">
        <v>4.5068546098698201</v>
      </c>
      <c r="K875" s="228">
        <v>4.2216985742563704</v>
      </c>
      <c r="L875" s="2423">
        <v>6.0326303040801301</v>
      </c>
      <c r="M875" s="1489">
        <v>5.7236109520724598</v>
      </c>
      <c r="N875" s="570">
        <v>5.9969420688269004</v>
      </c>
      <c r="O875" s="1277">
        <v>4.8580687811623999</v>
      </c>
      <c r="P875" s="1228">
        <v>4.9497368930946202</v>
      </c>
      <c r="Q875" s="2217">
        <v>4.76736706444464</v>
      </c>
      <c r="R875" s="781">
        <v>5.0532438998338103</v>
      </c>
      <c r="S875" s="833">
        <v>5.0571931866258799</v>
      </c>
      <c r="T875" s="1553">
        <v>5.2739377452689897</v>
      </c>
    </row>
    <row r="876" spans="1:20">
      <c r="A876" t="s">
        <v>2711</v>
      </c>
      <c r="B876" s="6" t="str">
        <f>HYPERLINK("http://www.ncbi.nlm.nih.gov/gene/195733", "195733")</f>
        <v>195733</v>
      </c>
      <c r="C876" s="6" t="str">
        <f>HYPERLINK("http://www.ncbi.nlm.nih.gov/gene/29841", "29841")</f>
        <v>29841</v>
      </c>
      <c r="D876" t="str">
        <f>"Grhl1"</f>
        <v>Grhl1</v>
      </c>
      <c r="E876" t="s">
        <v>2712</v>
      </c>
      <c r="F876" t="s">
        <v>2691</v>
      </c>
      <c r="H876" s="520">
        <v>6</v>
      </c>
      <c r="I876" s="429">
        <v>3.2118233684180502</v>
      </c>
      <c r="J876" s="164">
        <v>3.4676263613232101</v>
      </c>
      <c r="K876" s="122">
        <v>3.53648216761809</v>
      </c>
      <c r="L876" s="2524">
        <v>5.4853653786624204</v>
      </c>
      <c r="M876" s="707">
        <v>5.4436856054905203</v>
      </c>
      <c r="N876" s="1071">
        <v>5.2646666967615801</v>
      </c>
      <c r="O876" s="1032">
        <v>4.1861461389100798</v>
      </c>
      <c r="P876" s="694">
        <v>4.1343968410191803</v>
      </c>
      <c r="Q876" s="2222">
        <v>4.1728319921789296</v>
      </c>
      <c r="R876" s="746">
        <v>4.3102620596713601</v>
      </c>
      <c r="S876" s="658">
        <v>4.2556382538247499</v>
      </c>
      <c r="T876" s="1537">
        <v>4.4301780255057102</v>
      </c>
    </row>
    <row r="877" spans="1:20">
      <c r="A877" t="s">
        <v>2692</v>
      </c>
      <c r="B877" s="6" t="str">
        <f>HYPERLINK("http://www.ncbi.nlm.nih.gov/gene/232035", "232035")</f>
        <v>232035</v>
      </c>
      <c r="C877" s="6" t="str">
        <f>HYPERLINK("http://www.ncbi.nlm.nih.gov/gene/401145", "401145")</f>
        <v>401145</v>
      </c>
      <c r="D877" t="str">
        <f>"Fam190a"</f>
        <v>Fam190a</v>
      </c>
      <c r="E877" t="s">
        <v>2693</v>
      </c>
      <c r="F877" t="s">
        <v>90</v>
      </c>
      <c r="H877" s="520">
        <v>6</v>
      </c>
      <c r="I877" s="228">
        <v>5.33245031912963</v>
      </c>
      <c r="J877" s="250">
        <v>5.5995821051969399</v>
      </c>
      <c r="K877" s="135">
        <v>5.61930807794419</v>
      </c>
      <c r="L877" s="2430">
        <v>7.7560916565399802</v>
      </c>
      <c r="M877" s="1041">
        <v>7.6871619890204403</v>
      </c>
      <c r="N877" s="565">
        <v>7.8485215078119799</v>
      </c>
      <c r="O877" s="989">
        <v>6.0420527622463398</v>
      </c>
      <c r="P877" s="892">
        <v>6.1246796393293303</v>
      </c>
      <c r="Q877" s="1980">
        <v>6.3539178984377198</v>
      </c>
      <c r="R877" s="835">
        <v>6.4580822355895204</v>
      </c>
      <c r="S877" s="1028">
        <v>6.3037299190935796</v>
      </c>
      <c r="T877" s="812">
        <v>6.3261709044366201</v>
      </c>
    </row>
    <row r="878" spans="1:20">
      <c r="A878" t="s">
        <v>2694</v>
      </c>
      <c r="B878" s="6" t="str">
        <f>HYPERLINK("http://www.ncbi.nlm.nih.gov/gene/26408", "26408")</f>
        <v>26408</v>
      </c>
      <c r="C878" s="6" t="str">
        <f>HYPERLINK("http://www.ncbi.nlm.nih.gov/gene/4217", "4217")</f>
        <v>4217</v>
      </c>
      <c r="D878" t="str">
        <f>"Map3k5"</f>
        <v>Map3k5</v>
      </c>
      <c r="E878" t="s">
        <v>2717</v>
      </c>
      <c r="F878" t="s">
        <v>2718</v>
      </c>
      <c r="G878" t="s">
        <v>2700</v>
      </c>
      <c r="H878" s="520">
        <v>6</v>
      </c>
      <c r="I878" s="122">
        <v>3.94620113960623</v>
      </c>
      <c r="J878" s="228">
        <v>3.6863373048394501</v>
      </c>
      <c r="K878" s="233">
        <v>4.0438321693014396</v>
      </c>
      <c r="L878" s="2513">
        <v>6.3000011520758399</v>
      </c>
      <c r="M878" s="1496">
        <v>6.3677948305193901</v>
      </c>
      <c r="N878" s="570">
        <v>6.5644580695546102</v>
      </c>
      <c r="O878" s="1209">
        <v>4.6553175819927102</v>
      </c>
      <c r="P878" s="567">
        <v>4.1285869603738004</v>
      </c>
      <c r="Q878" s="2071">
        <v>4.4076344619687102</v>
      </c>
      <c r="R878" s="1430">
        <v>5.5679441197193302</v>
      </c>
      <c r="S878" s="796">
        <v>5.3241821401836704</v>
      </c>
      <c r="T878" s="1513">
        <v>5.2596226142263296</v>
      </c>
    </row>
    <row r="879" spans="1:20">
      <c r="A879" t="s">
        <v>2701</v>
      </c>
      <c r="B879" s="6" t="str">
        <f>HYPERLINK("http://www.ncbi.nlm.nih.gov/gene/58998", "58998")</f>
        <v>58998</v>
      </c>
      <c r="C879" s="6" t="str">
        <f>HYPERLINK("http://www.ncbi.nlm.nih.gov/gene/25945", "25945")</f>
        <v>25945</v>
      </c>
      <c r="D879" t="str">
        <f>"Pvrl3"</f>
        <v>Pvrl3</v>
      </c>
      <c r="E879" t="s">
        <v>2702</v>
      </c>
      <c r="F879" t="s">
        <v>2722</v>
      </c>
      <c r="G879" t="s">
        <v>2723</v>
      </c>
      <c r="H879" s="520">
        <v>6</v>
      </c>
      <c r="I879" s="270">
        <v>7.4216544385120997</v>
      </c>
      <c r="J879" s="289">
        <v>7.3306987042970899</v>
      </c>
      <c r="K879" s="164">
        <v>7.4198492761461399</v>
      </c>
      <c r="L879" s="2401">
        <v>8.5540083638209392</v>
      </c>
      <c r="M879" s="761">
        <v>8.5632654357641105</v>
      </c>
      <c r="N879" s="756">
        <v>8.5840980114677699</v>
      </c>
      <c r="O879" s="1581">
        <v>7.7408047292025604</v>
      </c>
      <c r="P879" s="641">
        <v>7.5990517266959801</v>
      </c>
      <c r="Q879" s="2160">
        <v>7.8012265657701096</v>
      </c>
      <c r="R879" s="882">
        <v>8.18771801510632</v>
      </c>
      <c r="S879" s="1430">
        <v>8.2009134828244292</v>
      </c>
      <c r="T879" s="802">
        <v>8.0120875657870005</v>
      </c>
    </row>
    <row r="880" spans="1:20">
      <c r="A880" t="s">
        <v>2724</v>
      </c>
      <c r="B880" s="6" t="str">
        <f>HYPERLINK("http://www.ncbi.nlm.nih.gov/gene/320027", "320027")</f>
        <v>320027</v>
      </c>
      <c r="C880" s="6" t="str">
        <f>HYPERLINK("http://www.ncbi.nlm.nih.gov/gene/23105", "23105")</f>
        <v>23105</v>
      </c>
      <c r="D880" t="str">
        <f>"Fstl4"</f>
        <v>Fstl4</v>
      </c>
      <c r="E880" t="s">
        <v>2725</v>
      </c>
      <c r="F880" t="s">
        <v>2726</v>
      </c>
      <c r="H880" s="520">
        <v>6</v>
      </c>
      <c r="I880" s="444">
        <v>3.2946188124519402</v>
      </c>
      <c r="J880" s="136">
        <v>3.6919612066450802</v>
      </c>
      <c r="K880" s="180">
        <v>3.5874432142814299</v>
      </c>
      <c r="L880" s="2516">
        <v>4.8951561002847903</v>
      </c>
      <c r="M880" s="558">
        <v>4.9924049579290202</v>
      </c>
      <c r="N880" s="698">
        <v>5.0178635079150302</v>
      </c>
      <c r="O880" s="1094">
        <v>4.04338016232927</v>
      </c>
      <c r="P880" s="572">
        <v>3.8271606422075699</v>
      </c>
      <c r="Q880" s="2055">
        <v>3.7669165118874699</v>
      </c>
      <c r="R880" s="952">
        <v>4.5612395905201799</v>
      </c>
      <c r="S880" s="966">
        <v>4.3934737085440103</v>
      </c>
      <c r="T880" s="802">
        <v>4.27308209427561</v>
      </c>
    </row>
    <row r="881" spans="1:20">
      <c r="A881" t="s">
        <v>2727</v>
      </c>
      <c r="B881" s="6" t="str">
        <f>HYPERLINK("http://www.ncbi.nlm.nih.gov/gene/140580", "140580")</f>
        <v>140580</v>
      </c>
      <c r="C881" s="6" t="str">
        <f>HYPERLINK("http://www.ncbi.nlm.nih.gov/gene/9844", "9844")</f>
        <v>9844</v>
      </c>
      <c r="D881" t="str">
        <f>"Elmo1"</f>
        <v>Elmo1</v>
      </c>
      <c r="E881" t="s">
        <v>2728</v>
      </c>
      <c r="F881" t="s">
        <v>2729</v>
      </c>
      <c r="G881" t="s">
        <v>2730</v>
      </c>
      <c r="H881" s="520">
        <v>6</v>
      </c>
      <c r="I881" s="466">
        <v>4.0227499149936099</v>
      </c>
      <c r="J881" s="343">
        <v>3.8668209059770402</v>
      </c>
      <c r="K881" s="57">
        <v>4.3877858631936304</v>
      </c>
      <c r="L881" s="2525">
        <v>5.1970531401542202</v>
      </c>
      <c r="M881" s="547">
        <v>5.3970957375099404</v>
      </c>
      <c r="N881" s="737">
        <v>5.1274583524906499</v>
      </c>
      <c r="O881" s="1209">
        <v>4.4008531727376301</v>
      </c>
      <c r="P881" s="622">
        <v>4.2855577607617796</v>
      </c>
      <c r="Q881" s="2065">
        <v>4.3158189357733603</v>
      </c>
      <c r="R881" s="700">
        <v>4.4917236521507</v>
      </c>
      <c r="S881" s="778">
        <v>4.6244083061303396</v>
      </c>
      <c r="T881" s="1461">
        <v>4.7222503883400204</v>
      </c>
    </row>
    <row r="882" spans="1:20">
      <c r="A882" t="s">
        <v>2731</v>
      </c>
      <c r="B882" s="6" t="str">
        <f>HYPERLINK("http://www.ncbi.nlm.nih.gov/gene/114606", "114606")</f>
        <v>114606</v>
      </c>
      <c r="C882" s="6" t="str">
        <f>HYPERLINK("http://www.ncbi.nlm.nih.gov/gene/79816", "79816")</f>
        <v>79816</v>
      </c>
      <c r="D882" t="str">
        <f>"Tle6"</f>
        <v>Tle6</v>
      </c>
      <c r="E882" t="s">
        <v>2732</v>
      </c>
      <c r="F882" t="s">
        <v>2733</v>
      </c>
      <c r="H882" s="520">
        <v>6</v>
      </c>
      <c r="I882" s="342">
        <v>4.1222609918286102</v>
      </c>
      <c r="J882" s="468">
        <v>4.18113640544001</v>
      </c>
      <c r="K882" s="154">
        <v>4.4028650968841596</v>
      </c>
      <c r="L882" s="2405">
        <v>5.2895935339199402</v>
      </c>
      <c r="M882" s="745">
        <v>5.3296894129737096</v>
      </c>
      <c r="N882" s="918">
        <v>5.1346093614911297</v>
      </c>
      <c r="O882" s="1133">
        <v>4.2515598396553802</v>
      </c>
      <c r="P882" s="726">
        <v>4.6710680409108098</v>
      </c>
      <c r="Q882" s="2054">
        <v>4.4171827337716598</v>
      </c>
      <c r="R882" s="764">
        <v>4.8492891504940703</v>
      </c>
      <c r="S882" s="1430">
        <v>4.9392045979118002</v>
      </c>
      <c r="T882" s="935">
        <v>4.9068916172544998</v>
      </c>
    </row>
    <row r="883" spans="1:20">
      <c r="A883" t="s">
        <v>2713</v>
      </c>
      <c r="B883" s="6" t="str">
        <f>HYPERLINK("http://www.ncbi.nlm.nih.gov/gene/214048", "214048")</f>
        <v>214048</v>
      </c>
      <c r="C883" s="6" t="str">
        <f>HYPERLINK("http://www.ncbi.nlm.nih.gov/gene/", "")</f>
        <v/>
      </c>
      <c r="D883" t="str">
        <f>"Larp1b"</f>
        <v>Larp1b</v>
      </c>
      <c r="E883" t="s">
        <v>2714</v>
      </c>
      <c r="F883" t="s">
        <v>2715</v>
      </c>
      <c r="H883" s="520">
        <v>6</v>
      </c>
      <c r="I883" s="337">
        <v>2.6792724457663799</v>
      </c>
      <c r="J883" s="391">
        <v>2.6426047801924102</v>
      </c>
      <c r="K883" s="110">
        <v>3.26953530653324</v>
      </c>
      <c r="L883" s="2495">
        <v>4.5977835711025303</v>
      </c>
      <c r="M883" s="758">
        <v>3.8052711546912601</v>
      </c>
      <c r="N883" s="919">
        <v>4.2145826840609102</v>
      </c>
      <c r="O883" s="1099">
        <v>3.5725056986904802</v>
      </c>
      <c r="P883" s="695">
        <v>3.3708911682091198</v>
      </c>
      <c r="Q883" s="2414">
        <v>2.9257515732193999</v>
      </c>
      <c r="R883" s="750">
        <v>3.6014911825943599</v>
      </c>
      <c r="S883" s="1296">
        <v>3.4775019041625801</v>
      </c>
      <c r="T883" s="1623">
        <v>4.0009932618367596</v>
      </c>
    </row>
    <row r="884" spans="1:20">
      <c r="A884" t="s">
        <v>2716</v>
      </c>
      <c r="B884" s="6" t="str">
        <f>HYPERLINK("http://www.ncbi.nlm.nih.gov/gene/216881", "216881")</f>
        <v>216881</v>
      </c>
      <c r="C884" s="6" t="str">
        <f>HYPERLINK("http://www.ncbi.nlm.nih.gov/gene/23302", "23302")</f>
        <v>23302</v>
      </c>
      <c r="D884" t="str">
        <f>"Wscd1"</f>
        <v>Wscd1</v>
      </c>
      <c r="E884" t="s">
        <v>2737</v>
      </c>
      <c r="F884" t="s">
        <v>2719</v>
      </c>
      <c r="H884" s="520">
        <v>6</v>
      </c>
      <c r="I884" s="89">
        <v>3.3637541213842601</v>
      </c>
      <c r="J884" s="285">
        <v>2.8197753971188702</v>
      </c>
      <c r="K884" s="58">
        <v>3.3869567610500102</v>
      </c>
      <c r="L884" s="2441">
        <v>5.0716290636058297</v>
      </c>
      <c r="M884" s="553">
        <v>4.99266531763383</v>
      </c>
      <c r="N884" s="526">
        <v>5.7382365871545797</v>
      </c>
      <c r="O884" s="1112">
        <v>3.7707377071034598</v>
      </c>
      <c r="P884" s="790">
        <v>3.7974847209485598</v>
      </c>
      <c r="Q884" s="2058">
        <v>3.5567319190705899</v>
      </c>
      <c r="R884" s="910">
        <v>3.7471553339897401</v>
      </c>
      <c r="S884" s="658">
        <v>3.8810553845372602</v>
      </c>
      <c r="T884" s="568">
        <v>3.3976798938952899</v>
      </c>
    </row>
    <row r="885" spans="1:20">
      <c r="A885" t="s">
        <v>2720</v>
      </c>
      <c r="B885" s="6" t="str">
        <f>HYPERLINK("http://www.ncbi.nlm.nih.gov/gene/58198", "58198")</f>
        <v>58198</v>
      </c>
      <c r="C885" s="6" t="str">
        <f>HYPERLINK("http://www.ncbi.nlm.nih.gov/gene/6299", "6299")</f>
        <v>6299</v>
      </c>
      <c r="D885" t="str">
        <f>"Sall1"</f>
        <v>Sall1</v>
      </c>
      <c r="E885" t="s">
        <v>2721</v>
      </c>
      <c r="F885" t="s">
        <v>2734</v>
      </c>
      <c r="H885" s="520">
        <v>6</v>
      </c>
      <c r="I885" s="59">
        <v>3.4381862142810502</v>
      </c>
      <c r="J885" s="180">
        <v>3.0905719020433602</v>
      </c>
      <c r="K885" s="194">
        <v>3.38248196637007</v>
      </c>
      <c r="L885" s="2408">
        <v>5.60607830682609</v>
      </c>
      <c r="M885" s="553">
        <v>5.3300512988467901</v>
      </c>
      <c r="N885" s="526">
        <v>6.1379142265709303</v>
      </c>
      <c r="O885" s="1453">
        <v>3.4864521857328699</v>
      </c>
      <c r="P885" s="738">
        <v>3.8115411663917098</v>
      </c>
      <c r="Q885" s="2484">
        <v>3.41649729595211</v>
      </c>
      <c r="R885" s="695">
        <v>3.88570384894357</v>
      </c>
      <c r="S885" s="670">
        <v>3.8391481717638798</v>
      </c>
      <c r="T885" s="1389">
        <v>4.0834972904841402</v>
      </c>
    </row>
    <row r="886" spans="1:20">
      <c r="A886" t="s">
        <v>2735</v>
      </c>
      <c r="B886" s="6" t="str">
        <f>HYPERLINK("http://www.ncbi.nlm.nih.gov/gene/53883", "53883")</f>
        <v>53883</v>
      </c>
      <c r="C886" s="6" t="str">
        <f>HYPERLINK("http://www.ncbi.nlm.nih.gov/gene/1952", "1952")</f>
        <v>1952</v>
      </c>
      <c r="D886" t="str">
        <f>"Celsr2"</f>
        <v>Celsr2</v>
      </c>
      <c r="E886" t="s">
        <v>2736</v>
      </c>
      <c r="F886" t="s">
        <v>2738</v>
      </c>
      <c r="H886" s="520">
        <v>6</v>
      </c>
      <c r="I886" s="27">
        <v>4.0695450397247601</v>
      </c>
      <c r="J886" s="228">
        <v>3.7841449285001301</v>
      </c>
      <c r="K886" s="135">
        <v>3.9637824173540999</v>
      </c>
      <c r="L886" s="1972">
        <v>5.1829320485650499</v>
      </c>
      <c r="M886" s="559">
        <v>5.1578683962923204</v>
      </c>
      <c r="N886" s="613">
        <v>5.55220915996596</v>
      </c>
      <c r="O886" s="1227">
        <v>4.2713321543785598</v>
      </c>
      <c r="P886" s="680">
        <v>4.2856311859850402</v>
      </c>
      <c r="Q886" s="2245">
        <v>4.1513336270342398</v>
      </c>
      <c r="R886" s="920">
        <v>4.5556753626092803</v>
      </c>
      <c r="S886" s="781">
        <v>4.4936209407065402</v>
      </c>
      <c r="T886" s="664">
        <v>4.3711556064317403</v>
      </c>
    </row>
    <row r="887" spans="1:20">
      <c r="A887" t="s">
        <v>2739</v>
      </c>
      <c r="B887" s="6" t="str">
        <f>HYPERLINK("http://www.ncbi.nlm.nih.gov/gene/67647", "67647")</f>
        <v>67647</v>
      </c>
      <c r="C887" s="6" t="str">
        <f>HYPERLINK("http://www.ncbi.nlm.nih.gov/gene/9674", "9674")</f>
        <v>9674</v>
      </c>
      <c r="D887" t="str">
        <f>"4930523C07Rik"</f>
        <v>4930523C07Rik</v>
      </c>
      <c r="E887" t="s">
        <v>2740</v>
      </c>
      <c r="F887" t="s">
        <v>90</v>
      </c>
      <c r="H887" s="520">
        <v>6</v>
      </c>
      <c r="I887" s="50">
        <v>3.0675636211790001</v>
      </c>
      <c r="J887" s="260">
        <v>2.6863251422365</v>
      </c>
      <c r="K887" s="23">
        <v>2.9442296099031902</v>
      </c>
      <c r="L887" s="2431">
        <v>4.2363886457191002</v>
      </c>
      <c r="M887" s="548">
        <v>3.98368667496573</v>
      </c>
      <c r="N887" s="635">
        <v>4.4805564136296798</v>
      </c>
      <c r="O887" s="1046">
        <v>3.0627861031505401</v>
      </c>
      <c r="P887" s="594">
        <v>3.1256833602545901</v>
      </c>
      <c r="Q887" s="2093">
        <v>2.9911881815310601</v>
      </c>
      <c r="R887" s="798">
        <v>3.41320025465662</v>
      </c>
      <c r="S887" s="1251">
        <v>3.4435347400804699</v>
      </c>
      <c r="T887" s="744">
        <v>3.2826075714145602</v>
      </c>
    </row>
    <row r="888" spans="1:20">
      <c r="A888" t="s">
        <v>2741</v>
      </c>
      <c r="B888" s="6" t="str">
        <f>HYPERLINK("http://www.ncbi.nlm.nih.gov/gene/76157", "76157")</f>
        <v>76157</v>
      </c>
      <c r="C888" s="6" t="str">
        <f>HYPERLINK("http://www.ncbi.nlm.nih.gov/gene/340146", "340146")</f>
        <v>340146</v>
      </c>
      <c r="D888" t="str">
        <f>"Slc35d3"</f>
        <v>Slc35d3</v>
      </c>
      <c r="E888" t="s">
        <v>2742</v>
      </c>
      <c r="F888" t="s">
        <v>2743</v>
      </c>
      <c r="H888" s="520">
        <v>6</v>
      </c>
      <c r="I888" s="110">
        <v>4.0701780703603996</v>
      </c>
      <c r="J888" s="429">
        <v>3.2057427122114701</v>
      </c>
      <c r="K888" s="257">
        <v>3.44516124329594</v>
      </c>
      <c r="L888" s="1981">
        <v>5.2418988020231803</v>
      </c>
      <c r="M888" s="558">
        <v>5.4963344197468604</v>
      </c>
      <c r="N888" s="2481">
        <v>5.9522151175580502</v>
      </c>
      <c r="O888" s="1264">
        <v>4.4602188122905702</v>
      </c>
      <c r="P888" s="600">
        <v>4.0836608559621901</v>
      </c>
      <c r="Q888" s="2168">
        <v>4.2516200188445703</v>
      </c>
      <c r="R888" s="543">
        <v>4.0884239510741498</v>
      </c>
      <c r="S888" s="1215">
        <v>4.23373790940538</v>
      </c>
      <c r="T888" s="1443">
        <v>4.2575807219909603</v>
      </c>
    </row>
    <row r="889" spans="1:20">
      <c r="A889" t="s">
        <v>2744</v>
      </c>
      <c r="B889" s="6" t="str">
        <f>HYPERLINK("http://www.ncbi.nlm.nih.gov/gene/245880", "245880")</f>
        <v>245880</v>
      </c>
      <c r="C889" s="6" t="str">
        <f>HYPERLINK("http://www.ncbi.nlm.nih.gov/gene/10810", "10810")</f>
        <v>10810</v>
      </c>
      <c r="D889" t="str">
        <f>"Wasf3"</f>
        <v>Wasf3</v>
      </c>
      <c r="E889" t="s">
        <v>2745</v>
      </c>
      <c r="F889" t="s">
        <v>2746</v>
      </c>
      <c r="G889" t="s">
        <v>2747</v>
      </c>
      <c r="H889" s="520">
        <v>6</v>
      </c>
      <c r="I889" s="79">
        <v>4.6365266167007002</v>
      </c>
      <c r="J889" s="263">
        <v>4.1813291110996502</v>
      </c>
      <c r="K889" s="98">
        <v>4.6106002434453801</v>
      </c>
      <c r="L889" s="2423">
        <v>5.57953203757463</v>
      </c>
      <c r="M889" s="967">
        <v>5.2996392355580699</v>
      </c>
      <c r="N889" s="1054">
        <v>5.67399861927482</v>
      </c>
      <c r="O889" s="1086">
        <v>4.4744927467117099</v>
      </c>
      <c r="P889" s="854">
        <v>4.8211451702862798</v>
      </c>
      <c r="Q889" s="2390">
        <v>5.0652860412391698</v>
      </c>
      <c r="R889" s="650">
        <v>4.8477904453062299</v>
      </c>
      <c r="S889" s="910">
        <v>4.7684453988142899</v>
      </c>
      <c r="T889" s="1397">
        <v>4.6084027338436799</v>
      </c>
    </row>
    <row r="890" spans="1:20">
      <c r="A890" t="s">
        <v>2748</v>
      </c>
      <c r="B890" s="6" t="str">
        <f>HYPERLINK("http://www.ncbi.nlm.nih.gov/gene/26556", "26556")</f>
        <v>26556</v>
      </c>
      <c r="C890" s="6" t="str">
        <f>HYPERLINK("http://www.ncbi.nlm.nih.gov/gene/9456", "9456")</f>
        <v>9456</v>
      </c>
      <c r="D890" t="str">
        <f>"Homer1"</f>
        <v>Homer1</v>
      </c>
      <c r="E890" t="s">
        <v>2749</v>
      </c>
      <c r="F890" t="s">
        <v>2750</v>
      </c>
      <c r="H890" s="520">
        <v>6</v>
      </c>
      <c r="I890" s="382">
        <v>5.1768538476391299</v>
      </c>
      <c r="J890" s="135">
        <v>5.5445418470255401</v>
      </c>
      <c r="K890" s="180">
        <v>5.5102433935089703</v>
      </c>
      <c r="L890" s="2416">
        <v>6.4041601291507799</v>
      </c>
      <c r="M890" s="926">
        <v>6.3951390417750797</v>
      </c>
      <c r="N890" s="526">
        <v>6.9458161933212699</v>
      </c>
      <c r="O890" s="1603">
        <v>5.9066341442884696</v>
      </c>
      <c r="P890" s="920">
        <v>6.0555913758191204</v>
      </c>
      <c r="Q890" s="2200">
        <v>6.1321731099750201</v>
      </c>
      <c r="R890" s="1095">
        <v>5.9465040303313002</v>
      </c>
      <c r="S890" s="705">
        <v>5.90888289618497</v>
      </c>
      <c r="T890" s="782">
        <v>6.0163741614970796</v>
      </c>
    </row>
    <row r="891" spans="1:20">
      <c r="A891" t="s">
        <v>2751</v>
      </c>
      <c r="B891" s="6" t="str">
        <f>HYPERLINK("http://www.ncbi.nlm.nih.gov/gene/72386", "72386")</f>
        <v>72386</v>
      </c>
      <c r="C891" s="6" t="str">
        <f>HYPERLINK("http://www.ncbi.nlm.nih.gov/gene/", "")</f>
        <v/>
      </c>
      <c r="D891" t="str">
        <f>"2610035D17Rik"</f>
        <v>2610035D17Rik</v>
      </c>
      <c r="E891" t="s">
        <v>2752</v>
      </c>
      <c r="F891" t="s">
        <v>90</v>
      </c>
      <c r="H891" s="520">
        <v>6</v>
      </c>
      <c r="I891" s="514">
        <v>3.19062186536254</v>
      </c>
      <c r="J891" s="88">
        <v>3.8939799098477699</v>
      </c>
      <c r="K891" s="285">
        <v>3.5332101154880502</v>
      </c>
      <c r="L891" s="2526">
        <v>4.9452151163111298</v>
      </c>
      <c r="M891" s="1135">
        <v>5.0652945414949402</v>
      </c>
      <c r="N891" s="607">
        <v>5.2879730074331999</v>
      </c>
      <c r="O891" s="941">
        <v>4.5469021481018501</v>
      </c>
      <c r="P891" s="845">
        <v>4.48881149141073</v>
      </c>
      <c r="Q891" s="2209">
        <v>4.3212719503018997</v>
      </c>
      <c r="R891" s="835">
        <v>4.3416682519927603</v>
      </c>
      <c r="S891" s="906">
        <v>4.1724832992612404</v>
      </c>
      <c r="T891" s="530">
        <v>4.3286871904487398</v>
      </c>
    </row>
    <row r="892" spans="1:20">
      <c r="A892" t="s">
        <v>2753</v>
      </c>
      <c r="B892" s="6" t="str">
        <f>HYPERLINK("http://www.ncbi.nlm.nih.gov/gene/17245", "17245")</f>
        <v>17245</v>
      </c>
      <c r="C892" s="6" t="str">
        <f>HYPERLINK("http://www.ncbi.nlm.nih.gov/gene/56890", "56890")</f>
        <v>56890</v>
      </c>
      <c r="D892" t="str">
        <f>"Mdm1"</f>
        <v>Mdm1</v>
      </c>
      <c r="E892" t="s">
        <v>2754</v>
      </c>
      <c r="F892" t="s">
        <v>2755</v>
      </c>
      <c r="H892" s="520">
        <v>6</v>
      </c>
      <c r="I892" s="410">
        <v>4.6193110954490004</v>
      </c>
      <c r="J892" s="309">
        <v>4.8029490532690398</v>
      </c>
      <c r="K892" s="164">
        <v>5.0681493701706</v>
      </c>
      <c r="L892" s="2527">
        <v>6.5197407639344602</v>
      </c>
      <c r="M892" s="1504">
        <v>6.5036812519177998</v>
      </c>
      <c r="N892" s="1164">
        <v>6.8303964505580499</v>
      </c>
      <c r="O892" s="1118">
        <v>5.9592667972259603</v>
      </c>
      <c r="P892" s="827">
        <v>6.1599302653503898</v>
      </c>
      <c r="Q892" s="1997">
        <v>6.1280601733076097</v>
      </c>
      <c r="R892" s="779">
        <v>5.7835538830226199</v>
      </c>
      <c r="S892" s="1090">
        <v>6.0304191233672402</v>
      </c>
      <c r="T892" s="1557">
        <v>5.9361072542999</v>
      </c>
    </row>
    <row r="893" spans="1:20">
      <c r="A893" t="s">
        <v>2756</v>
      </c>
      <c r="B893" s="6" t="str">
        <f>HYPERLINK("http://www.ncbi.nlm.nih.gov/gene/218121", "218121")</f>
        <v>218121</v>
      </c>
      <c r="C893" s="6" t="str">
        <f>HYPERLINK("http://www.ncbi.nlm.nih.gov/gene/154141", "154141")</f>
        <v>154141</v>
      </c>
      <c r="D893" t="str">
        <f>"Mboat1"</f>
        <v>Mboat1</v>
      </c>
      <c r="E893" t="s">
        <v>2757</v>
      </c>
      <c r="F893" t="s">
        <v>2758</v>
      </c>
      <c r="G893" t="s">
        <v>2759</v>
      </c>
      <c r="H893" s="520">
        <v>6</v>
      </c>
      <c r="I893" s="288">
        <v>3.5405694513069199</v>
      </c>
      <c r="J893" s="228">
        <v>3.4945184094413801</v>
      </c>
      <c r="K893" s="479">
        <v>3.3240903228554002</v>
      </c>
      <c r="L893" s="2401">
        <v>4.7656739000886699</v>
      </c>
      <c r="M893" s="1508">
        <v>4.6643563187400003</v>
      </c>
      <c r="N893" s="1164">
        <v>4.8208146336888902</v>
      </c>
      <c r="O893" s="954">
        <v>4.3006533431965002</v>
      </c>
      <c r="P893" s="824">
        <v>4.3185159091765799</v>
      </c>
      <c r="Q893" s="2228">
        <v>4.2095736741702403</v>
      </c>
      <c r="R893" s="910">
        <v>4.0086021600662596</v>
      </c>
      <c r="S893" s="690">
        <v>4.1267435245888402</v>
      </c>
      <c r="T893" s="1592">
        <v>4.0097771421394901</v>
      </c>
    </row>
    <row r="894" spans="1:20">
      <c r="A894" t="s">
        <v>2760</v>
      </c>
      <c r="B894" s="6" t="str">
        <f>HYPERLINK("http://www.ncbi.nlm.nih.gov/gene/668212", "668212")</f>
        <v>668212</v>
      </c>
      <c r="C894" s="6" t="str">
        <f>HYPERLINK("http://www.ncbi.nlm.nih.gov/gene/22979", "22979")</f>
        <v>22979</v>
      </c>
      <c r="D894" t="str">
        <f>"Efr3b"</f>
        <v>Efr3b</v>
      </c>
      <c r="E894" t="s">
        <v>2761</v>
      </c>
      <c r="F894" t="s">
        <v>90</v>
      </c>
      <c r="H894" s="520">
        <v>6</v>
      </c>
      <c r="I894" s="492">
        <v>4.6464225689937804</v>
      </c>
      <c r="J894" s="505">
        <v>4.4060042105700701</v>
      </c>
      <c r="K894" s="150">
        <v>4.6813075823743402</v>
      </c>
      <c r="L894" s="2405">
        <v>5.8224326499239902</v>
      </c>
      <c r="M894" s="934">
        <v>5.5859901173816597</v>
      </c>
      <c r="N894" s="689">
        <v>5.8097361576964204</v>
      </c>
      <c r="O894" s="1121">
        <v>5.3188343446743902</v>
      </c>
      <c r="P894" s="966">
        <v>5.3724283279171399</v>
      </c>
      <c r="Q894" s="2197">
        <v>5.2786855397345498</v>
      </c>
      <c r="R894" s="626">
        <v>5.2996173354144602</v>
      </c>
      <c r="S894" s="913">
        <v>5.2496446210029601</v>
      </c>
      <c r="T894" s="1388">
        <v>5.1704690261528699</v>
      </c>
    </row>
    <row r="895" spans="1:20">
      <c r="A895" t="s">
        <v>2762</v>
      </c>
      <c r="B895" s="6" t="str">
        <f>HYPERLINK("http://www.ncbi.nlm.nih.gov/gene/330908", "330908")</f>
        <v>330908</v>
      </c>
      <c r="C895" s="6" t="str">
        <f>HYPERLINK("http://www.ncbi.nlm.nih.gov/gene/4978", "4978")</f>
        <v>4978</v>
      </c>
      <c r="D895" t="str">
        <f>"Opcml"</f>
        <v>Opcml</v>
      </c>
      <c r="E895" t="s">
        <v>2763</v>
      </c>
      <c r="F895" t="s">
        <v>90</v>
      </c>
      <c r="H895" s="520">
        <v>6</v>
      </c>
      <c r="I895" s="228">
        <v>5.11410274637967</v>
      </c>
      <c r="J895" s="444">
        <v>4.9034855214410502</v>
      </c>
      <c r="K895" s="232">
        <v>5.1788105438582397</v>
      </c>
      <c r="L895" s="1977">
        <v>7.2925927774119703</v>
      </c>
      <c r="M895" s="769">
        <v>7.3807610000622397</v>
      </c>
      <c r="N895" s="725">
        <v>7.7241628398373896</v>
      </c>
      <c r="O895" s="1099">
        <v>6.3692442435394403</v>
      </c>
      <c r="P895" s="849">
        <v>6.1651258258803399</v>
      </c>
      <c r="Q895" s="2096">
        <v>6.4517928769101802</v>
      </c>
      <c r="R895" s="781">
        <v>6.2970156192501703</v>
      </c>
      <c r="S895" s="1251">
        <v>6.3630999188984001</v>
      </c>
      <c r="T895" s="1434">
        <v>6.1879374940970697</v>
      </c>
    </row>
    <row r="896" spans="1:20">
      <c r="A896" t="s">
        <v>2764</v>
      </c>
      <c r="B896" s="6" t="str">
        <f>HYPERLINK("http://www.ncbi.nlm.nih.gov/gene/77300", "77300")</f>
        <v>77300</v>
      </c>
      <c r="C896" s="6" t="str">
        <f>HYPERLINK("http://www.ncbi.nlm.nih.gov/gene/65059", "65059")</f>
        <v>65059</v>
      </c>
      <c r="D896" t="str">
        <f>"Raph1"</f>
        <v>Raph1</v>
      </c>
      <c r="E896" t="s">
        <v>2765</v>
      </c>
      <c r="F896" t="s">
        <v>2766</v>
      </c>
      <c r="H896" s="520">
        <v>6</v>
      </c>
      <c r="I896" s="284">
        <v>7.0166269572555997</v>
      </c>
      <c r="J896" s="440">
        <v>6.8168163506671204</v>
      </c>
      <c r="K896" s="243">
        <v>6.8954901594925904</v>
      </c>
      <c r="L896" s="2513">
        <v>8.5822242673484492</v>
      </c>
      <c r="M896" s="1157">
        <v>8.5875308957638605</v>
      </c>
      <c r="N896" s="558">
        <v>8.6575425462152396</v>
      </c>
      <c r="O896" s="969">
        <v>7.9203187541612898</v>
      </c>
      <c r="P896" s="658">
        <v>7.7332875552327502</v>
      </c>
      <c r="Q896" s="2270">
        <v>7.9335140395802997</v>
      </c>
      <c r="R896" s="778">
        <v>7.86249043277647</v>
      </c>
      <c r="S896" s="726">
        <v>7.7357564276980302</v>
      </c>
      <c r="T896" s="794">
        <v>7.7302618804135301</v>
      </c>
    </row>
    <row r="897" spans="1:20">
      <c r="A897" t="s">
        <v>2767</v>
      </c>
      <c r="B897" s="6" t="str">
        <f>HYPERLINK("http://www.ncbi.nlm.nih.gov/gene/226250", "226250")</f>
        <v>226250</v>
      </c>
      <c r="C897" s="6" t="str">
        <f>HYPERLINK("http://www.ncbi.nlm.nih.gov/gene/84632", "84632")</f>
        <v>84632</v>
      </c>
      <c r="D897" t="str">
        <f>"Afap1l2"</f>
        <v>Afap1l2</v>
      </c>
      <c r="E897" t="s">
        <v>2768</v>
      </c>
      <c r="F897" t="s">
        <v>2769</v>
      </c>
      <c r="H897" s="520">
        <v>6</v>
      </c>
      <c r="I897" s="257">
        <v>3.0476546454416402</v>
      </c>
      <c r="J897" s="265">
        <v>2.9252576357901998</v>
      </c>
      <c r="K897" s="492">
        <v>2.98976134918545</v>
      </c>
      <c r="L897" s="2177">
        <v>3.9577490564448601</v>
      </c>
      <c r="M897" s="693">
        <v>4.7282510352022298</v>
      </c>
      <c r="N897" s="632">
        <v>4.9355631450450099</v>
      </c>
      <c r="O897" s="1099">
        <v>3.8556936191594402</v>
      </c>
      <c r="P897" s="746">
        <v>3.78631989612802</v>
      </c>
      <c r="Q897" s="2101">
        <v>3.5774716172647198</v>
      </c>
      <c r="R897" s="751">
        <v>3.83851092065261</v>
      </c>
      <c r="S897" s="775">
        <v>4.1477696887785198</v>
      </c>
      <c r="T897" s="1576">
        <v>3.8111696388479102</v>
      </c>
    </row>
    <row r="898" spans="1:20">
      <c r="A898" t="s">
        <v>2770</v>
      </c>
      <c r="B898" s="6" t="str">
        <f>HYPERLINK("http://www.ncbi.nlm.nih.gov/gene/26448", "26448")</f>
        <v>26448</v>
      </c>
      <c r="C898" s="6" t="str">
        <f>HYPERLINK("http://www.ncbi.nlm.nih.gov/gene/5891", "5891")</f>
        <v>5891</v>
      </c>
      <c r="D898" t="str">
        <f>"Stk30"</f>
        <v>Stk30</v>
      </c>
      <c r="E898" t="s">
        <v>2771</v>
      </c>
      <c r="F898" t="s">
        <v>2772</v>
      </c>
      <c r="H898" s="520">
        <v>6</v>
      </c>
      <c r="I898" s="199">
        <v>4.5399221453702898</v>
      </c>
      <c r="J898" s="449">
        <v>4.2921559778001699</v>
      </c>
      <c r="K898" s="409">
        <v>4.31826361802311</v>
      </c>
      <c r="L898" s="2506">
        <v>5.3927783526696098</v>
      </c>
      <c r="M898" s="1049">
        <v>5.7898768234012401</v>
      </c>
      <c r="N898" s="553">
        <v>5.4714753051568499</v>
      </c>
      <c r="O898" s="1117">
        <v>4.6782926500766697</v>
      </c>
      <c r="P898" s="966">
        <v>5.0771483505389403</v>
      </c>
      <c r="Q898" s="2182">
        <v>4.8643804045204302</v>
      </c>
      <c r="R898" s="869">
        <v>4.8157841200721503</v>
      </c>
      <c r="S898" s="910">
        <v>4.8086054621638104</v>
      </c>
      <c r="T898" s="828">
        <v>5.0008155870887503</v>
      </c>
    </row>
    <row r="899" spans="1:20">
      <c r="A899" t="s">
        <v>2773</v>
      </c>
      <c r="B899" s="6" t="str">
        <f>HYPERLINK("http://www.ncbi.nlm.nih.gov/gene/20357", "20357")</f>
        <v>20357</v>
      </c>
      <c r="C899" s="6" t="str">
        <f>HYPERLINK("http://www.ncbi.nlm.nih.gov/gene/54437", "54437")</f>
        <v>54437</v>
      </c>
      <c r="D899" t="str">
        <f>"Sema5b"</f>
        <v>Sema5b</v>
      </c>
      <c r="E899" t="s">
        <v>2774</v>
      </c>
      <c r="F899" t="s">
        <v>2775</v>
      </c>
      <c r="G899" t="s">
        <v>604</v>
      </c>
      <c r="H899" s="520">
        <v>6</v>
      </c>
      <c r="I899" s="75">
        <v>4.9552007765509201</v>
      </c>
      <c r="J899" s="278">
        <v>4.4564979755516498</v>
      </c>
      <c r="K899" s="343">
        <v>4.41856278711498</v>
      </c>
      <c r="L899" s="2528">
        <v>6.6200029753539802</v>
      </c>
      <c r="M899" s="571">
        <v>6.81531859423173</v>
      </c>
      <c r="N899" s="666">
        <v>6.9225000609823004</v>
      </c>
      <c r="O899" s="1056">
        <v>5.30021761783477</v>
      </c>
      <c r="P899" s="1100">
        <v>5.7218481928237797</v>
      </c>
      <c r="Q899" s="2192">
        <v>5.6655248553536302</v>
      </c>
      <c r="R899" s="916">
        <v>5.8456568106965996</v>
      </c>
      <c r="S899" s="550">
        <v>5.4786476502916504</v>
      </c>
      <c r="T899" s="789">
        <v>5.7307693722968196</v>
      </c>
    </row>
    <row r="900" spans="1:20">
      <c r="A900" t="s">
        <v>2776</v>
      </c>
      <c r="B900" s="6" t="str">
        <f>HYPERLINK("http://www.ncbi.nlm.nih.gov/gene/16668", "16668")</f>
        <v>16668</v>
      </c>
      <c r="C900" s="6" t="str">
        <f>HYPERLINK("http://www.ncbi.nlm.nih.gov/gene/3875", "3875")</f>
        <v>3875</v>
      </c>
      <c r="D900" t="str">
        <f>"Krt18"</f>
        <v>Krt18</v>
      </c>
      <c r="E900" t="s">
        <v>2777</v>
      </c>
      <c r="F900" t="s">
        <v>2779</v>
      </c>
      <c r="H900" s="520">
        <v>6</v>
      </c>
      <c r="I900" s="84">
        <v>5.7486307688600604</v>
      </c>
      <c r="J900" s="423">
        <v>5.54542408066047</v>
      </c>
      <c r="K900" s="232">
        <v>5.6429266632899102</v>
      </c>
      <c r="L900" s="2408">
        <v>7.2335542724573401</v>
      </c>
      <c r="M900" s="598">
        <v>7.2803823148485698</v>
      </c>
      <c r="N900" s="1508">
        <v>6.9986006632978297</v>
      </c>
      <c r="O900" s="1528">
        <v>6.6287826862561303</v>
      </c>
      <c r="P900" s="626">
        <v>6.4694639651404398</v>
      </c>
      <c r="Q900" s="2185">
        <v>6.2325429472123997</v>
      </c>
      <c r="R900" s="699">
        <v>6.1688087550169799</v>
      </c>
      <c r="S900" s="869">
        <v>6.2307724518249001</v>
      </c>
      <c r="T900" s="1361">
        <v>6.2186875379149296</v>
      </c>
    </row>
    <row r="901" spans="1:20">
      <c r="A901" t="s">
        <v>2780</v>
      </c>
      <c r="B901" s="6" t="str">
        <f>HYPERLINK("http://www.ncbi.nlm.nih.gov/gene/17965", "17965")</f>
        <v>17965</v>
      </c>
      <c r="C901" s="6" t="str">
        <f>HYPERLINK("http://www.ncbi.nlm.nih.gov/gene/100532736,4681", "100532736,4681")</f>
        <v>100532736,4681</v>
      </c>
      <c r="D901" t="str">
        <f>"Nbl1"</f>
        <v>Nbl1</v>
      </c>
      <c r="E901" t="s">
        <v>2781</v>
      </c>
      <c r="F901" t="s">
        <v>2782</v>
      </c>
      <c r="H901" s="520">
        <v>6</v>
      </c>
      <c r="I901" s="354">
        <v>5.3774591791632798</v>
      </c>
      <c r="J901" s="338">
        <v>5.0663754080810897</v>
      </c>
      <c r="K901" s="150">
        <v>5.4212812737169296</v>
      </c>
      <c r="L901" s="2529">
        <v>7.42051056038241</v>
      </c>
      <c r="M901" s="951">
        <v>7.57165889171476</v>
      </c>
      <c r="N901" s="820">
        <v>7.2860120410737901</v>
      </c>
      <c r="O901" s="1209">
        <v>6.4047572463362998</v>
      </c>
      <c r="P901" s="560">
        <v>6.3572524236930299</v>
      </c>
      <c r="Q901" s="2404">
        <v>6.3096693250933296</v>
      </c>
      <c r="R901" s="714">
        <v>8.2378073793684692</v>
      </c>
      <c r="S901" s="1071">
        <v>8.26363619806164</v>
      </c>
      <c r="T901" s="1000">
        <v>8.1329052756750109</v>
      </c>
    </row>
    <row r="902" spans="1:20">
      <c r="A902" t="s">
        <v>2783</v>
      </c>
      <c r="B902" s="6" t="str">
        <f>HYPERLINK("http://www.ncbi.nlm.nih.gov/gene/54326", "54326")</f>
        <v>54326</v>
      </c>
      <c r="C902" s="6" t="str">
        <f>HYPERLINK("http://www.ncbi.nlm.nih.gov/gene/54898", "54898")</f>
        <v>54898</v>
      </c>
      <c r="D902" t="str">
        <f>"Elovl2"</f>
        <v>Elovl2</v>
      </c>
      <c r="E902" t="s">
        <v>2784</v>
      </c>
      <c r="F902" t="s">
        <v>2785</v>
      </c>
      <c r="G902" t="s">
        <v>2786</v>
      </c>
      <c r="H902" s="520">
        <v>6</v>
      </c>
      <c r="I902" s="232">
        <v>4.3042964394032603</v>
      </c>
      <c r="J902" s="306">
        <v>4.2766147594026203</v>
      </c>
      <c r="K902" s="243">
        <v>3.9989159321166898</v>
      </c>
      <c r="L902" s="2530">
        <v>7.4849519273322596</v>
      </c>
      <c r="M902" s="909">
        <v>7.7950762391644801</v>
      </c>
      <c r="N902" s="536">
        <v>8.06303900299371</v>
      </c>
      <c r="O902" s="1056">
        <v>5.7858098000191696</v>
      </c>
      <c r="P902" s="533">
        <v>5.6881939556542198</v>
      </c>
      <c r="Q902" s="2057">
        <v>5.6290849417870303</v>
      </c>
      <c r="R902" s="634">
        <v>8.5175627001291208</v>
      </c>
      <c r="S902" s="553">
        <v>8.78848795299686</v>
      </c>
      <c r="T902" s="1008">
        <v>8.6794093962374692</v>
      </c>
    </row>
    <row r="903" spans="1:20">
      <c r="A903" t="s">
        <v>2787</v>
      </c>
      <c r="B903" s="6" t="str">
        <f>HYPERLINK("http://www.ncbi.nlm.nih.gov/gene/225207", "225207")</f>
        <v>225207</v>
      </c>
      <c r="C903" s="6" t="str">
        <f>HYPERLINK("http://www.ncbi.nlm.nih.gov/gene/25925", "25925")</f>
        <v>25925</v>
      </c>
      <c r="D903" t="str">
        <f>"Zfp521"</f>
        <v>Zfp521</v>
      </c>
      <c r="E903" t="s">
        <v>2788</v>
      </c>
      <c r="F903" t="s">
        <v>2790</v>
      </c>
      <c r="H903" s="520">
        <v>6</v>
      </c>
      <c r="I903" s="467">
        <v>7.3095123998676401</v>
      </c>
      <c r="J903" s="473">
        <v>7.0529246209793701</v>
      </c>
      <c r="K903" s="289">
        <v>7.1097154626151804</v>
      </c>
      <c r="L903" s="2531">
        <v>8.4377351218365995</v>
      </c>
      <c r="M903" s="527">
        <v>8.4121557555128206</v>
      </c>
      <c r="N903" s="970">
        <v>8.4849483750518893</v>
      </c>
      <c r="O903" s="1200">
        <v>7.5423864417904403</v>
      </c>
      <c r="P903" s="573">
        <v>7.5174276720982203</v>
      </c>
      <c r="Q903" s="2077">
        <v>7.7392689387387303</v>
      </c>
      <c r="R903" s="919">
        <v>8.7198022108804203</v>
      </c>
      <c r="S903" s="866">
        <v>8.5720667247875397</v>
      </c>
      <c r="T903" s="1624">
        <v>8.6472248863510295</v>
      </c>
    </row>
    <row r="904" spans="1:20">
      <c r="A904" t="s">
        <v>2791</v>
      </c>
      <c r="B904" s="6" t="str">
        <f>HYPERLINK("http://www.ncbi.nlm.nih.gov/gene/240058", "240058")</f>
        <v>240058</v>
      </c>
      <c r="C904" s="6" t="str">
        <f>HYPERLINK("http://www.ncbi.nlm.nih.gov/gene/57699", "57699")</f>
        <v>57699</v>
      </c>
      <c r="D904" t="str">
        <f>"Cpne5"</f>
        <v>Cpne5</v>
      </c>
      <c r="E904" t="s">
        <v>2792</v>
      </c>
      <c r="F904" t="s">
        <v>2793</v>
      </c>
      <c r="H904" s="520">
        <v>6</v>
      </c>
      <c r="I904" s="175">
        <v>2.6987750563496702</v>
      </c>
      <c r="J904" s="449">
        <v>2.4122218744939898</v>
      </c>
      <c r="K904" s="510">
        <v>2.2817579428994699</v>
      </c>
      <c r="L904" s="2532">
        <v>5.1976898983675204</v>
      </c>
      <c r="M904" s="732">
        <v>4.6971231234486996</v>
      </c>
      <c r="N904" s="888">
        <v>5.4509916410928696</v>
      </c>
      <c r="O904" s="1277">
        <v>3.9234238079444599</v>
      </c>
      <c r="P904" s="528">
        <v>4.2382205797241497</v>
      </c>
      <c r="Q904" s="2252">
        <v>3.3525088676707302</v>
      </c>
      <c r="R904" s="947">
        <v>5.69655467540613</v>
      </c>
      <c r="S904" s="559">
        <v>6.0775508639886597</v>
      </c>
      <c r="T904" s="1189">
        <v>5.9913348479809203</v>
      </c>
    </row>
    <row r="905" spans="1:20">
      <c r="A905" t="s">
        <v>2794</v>
      </c>
      <c r="B905" s="6" t="str">
        <f>HYPERLINK("http://www.ncbi.nlm.nih.gov/gene/16373", "16373")</f>
        <v>16373</v>
      </c>
      <c r="C905" s="6" t="str">
        <f>HYPERLINK("http://www.ncbi.nlm.nih.gov/gene/79191", "79191")</f>
        <v>79191</v>
      </c>
      <c r="D905" t="str">
        <f>"Irx3"</f>
        <v>Irx3</v>
      </c>
      <c r="E905" t="s">
        <v>2795</v>
      </c>
      <c r="F905" t="s">
        <v>2796</v>
      </c>
      <c r="H905" s="520">
        <v>6</v>
      </c>
      <c r="I905" s="385">
        <v>6.0158720927917297</v>
      </c>
      <c r="J905" s="428">
        <v>5.79848911249187</v>
      </c>
      <c r="K905" s="409">
        <v>6.0354035319637802</v>
      </c>
      <c r="L905" s="2533">
        <v>7.5556625981141803</v>
      </c>
      <c r="M905" s="1475">
        <v>7.5751187350831897</v>
      </c>
      <c r="N905" s="931">
        <v>7.6068227230115504</v>
      </c>
      <c r="O905" s="1227">
        <v>6.7073106900216803</v>
      </c>
      <c r="P905" s="1095">
        <v>6.9215783872638204</v>
      </c>
      <c r="Q905" s="2101">
        <v>6.7331861576207199</v>
      </c>
      <c r="R905" s="970">
        <v>7.5906125631488699</v>
      </c>
      <c r="S905" s="938">
        <v>7.6417046588988899</v>
      </c>
      <c r="T905" s="1624">
        <v>7.7825191265934999</v>
      </c>
    </row>
    <row r="906" spans="1:20">
      <c r="A906" t="s">
        <v>2797</v>
      </c>
      <c r="B906" s="6" t="str">
        <f>HYPERLINK("http://www.ncbi.nlm.nih.gov/gene/19734", "19734")</f>
        <v>19734</v>
      </c>
      <c r="C906" s="6" t="str">
        <f>HYPERLINK("http://www.ncbi.nlm.nih.gov/gene/6004", "6004")</f>
        <v>6004</v>
      </c>
      <c r="D906" t="str">
        <f>"Rgs16"</f>
        <v>Rgs16</v>
      </c>
      <c r="E906" t="s">
        <v>2798</v>
      </c>
      <c r="F906" t="s">
        <v>2799</v>
      </c>
      <c r="H906" s="520">
        <v>6</v>
      </c>
      <c r="I906" s="228">
        <v>5.11191029077564</v>
      </c>
      <c r="J906" s="391">
        <v>4.9570247174692099</v>
      </c>
      <c r="K906" s="349">
        <v>5.0340362126474298</v>
      </c>
      <c r="L906" s="2534">
        <v>7.3117541651812497</v>
      </c>
      <c r="M906" s="946">
        <v>7.0758133478885004</v>
      </c>
      <c r="N906" s="888">
        <v>7.2567829069206704</v>
      </c>
      <c r="O906" s="1219">
        <v>5.9845350866934997</v>
      </c>
      <c r="P906" s="694">
        <v>6.1883609220035902</v>
      </c>
      <c r="Q906" s="2151">
        <v>6.01185948014699</v>
      </c>
      <c r="R906" s="866">
        <v>7.4170226091220997</v>
      </c>
      <c r="S906" s="1182">
        <v>7.50160284509366</v>
      </c>
      <c r="T906" s="1625">
        <v>7.5204481860780401</v>
      </c>
    </row>
    <row r="907" spans="1:20">
      <c r="A907" t="s">
        <v>2800</v>
      </c>
      <c r="B907" s="6" t="str">
        <f>HYPERLINK("http://www.ncbi.nlm.nih.gov/gene/12903", "12903")</f>
        <v>12903</v>
      </c>
      <c r="C907" s="6" t="str">
        <f>HYPERLINK("http://www.ncbi.nlm.nih.gov/gene/1381", "1381")</f>
        <v>1381</v>
      </c>
      <c r="D907" t="str">
        <f>"Crabp1"</f>
        <v>Crabp1</v>
      </c>
      <c r="E907" t="s">
        <v>2801</v>
      </c>
      <c r="F907" t="s">
        <v>2802</v>
      </c>
      <c r="H907" s="520">
        <v>6</v>
      </c>
      <c r="I907" s="337">
        <v>8.6125858761319805</v>
      </c>
      <c r="J907" s="507">
        <v>8.4543266326051896</v>
      </c>
      <c r="K907" s="440">
        <v>8.5030246913660203</v>
      </c>
      <c r="L907" s="2416">
        <v>10.473506130240599</v>
      </c>
      <c r="M907" s="912">
        <v>10.382133434928001</v>
      </c>
      <c r="N907" s="901">
        <v>10.1765450121339</v>
      </c>
      <c r="O907" s="1279">
        <v>9.6251641036061404</v>
      </c>
      <c r="P907" s="1226">
        <v>9.7730621207205193</v>
      </c>
      <c r="Q907" s="2253">
        <v>9.5839130437311297</v>
      </c>
      <c r="R907" s="981">
        <v>10.4643656375767</v>
      </c>
      <c r="S907" s="981">
        <v>10.4656869851538</v>
      </c>
      <c r="T907" s="1626">
        <v>10.5153684053041</v>
      </c>
    </row>
    <row r="908" spans="1:20">
      <c r="A908" t="s">
        <v>2778</v>
      </c>
      <c r="B908" s="6" t="str">
        <f>HYPERLINK("http://www.ncbi.nlm.nih.gov/gene/23892", "23892")</f>
        <v>23892</v>
      </c>
      <c r="C908" s="6" t="str">
        <f>HYPERLINK("http://www.ncbi.nlm.nih.gov/gene/26585", "26585")</f>
        <v>26585</v>
      </c>
      <c r="D908" t="str">
        <f>"Grem1"</f>
        <v>Grem1</v>
      </c>
      <c r="E908" t="s">
        <v>2789</v>
      </c>
      <c r="F908" t="s">
        <v>2803</v>
      </c>
      <c r="H908" s="520">
        <v>6</v>
      </c>
      <c r="I908" s="295">
        <v>5.5755159895431197</v>
      </c>
      <c r="J908" s="471">
        <v>5.3898611120268596</v>
      </c>
      <c r="K908" s="452">
        <v>5.5890352387394202</v>
      </c>
      <c r="L908" s="2526">
        <v>8.3550077645649594</v>
      </c>
      <c r="M908" s="923">
        <v>8.1807710339033708</v>
      </c>
      <c r="N908" s="912">
        <v>8.1025637334203005</v>
      </c>
      <c r="O908" s="1257">
        <v>6.90514457715852</v>
      </c>
      <c r="P908" s="793">
        <v>7.0395128342627</v>
      </c>
      <c r="Q908" s="2167">
        <v>7.1092063303546098</v>
      </c>
      <c r="R908" s="1248">
        <v>8.0826823210177903</v>
      </c>
      <c r="S908" s="1248">
        <v>8.0831703636080405</v>
      </c>
      <c r="T908" s="1276">
        <v>8.2237067412989298</v>
      </c>
    </row>
    <row r="909" spans="1:20">
      <c r="A909" t="s">
        <v>2825</v>
      </c>
      <c r="B909" s="6" t="str">
        <f>HYPERLINK("http://www.ncbi.nlm.nih.gov/gene/20348", "20348")</f>
        <v>20348</v>
      </c>
      <c r="C909" s="6" t="str">
        <f>HYPERLINK("http://www.ncbi.nlm.nih.gov/gene/10512", "10512")</f>
        <v>10512</v>
      </c>
      <c r="D909" t="str">
        <f>"Sema3c"</f>
        <v>Sema3c</v>
      </c>
      <c r="E909" t="s">
        <v>2826</v>
      </c>
      <c r="F909" t="s">
        <v>2816</v>
      </c>
      <c r="G909" t="s">
        <v>604</v>
      </c>
      <c r="H909" s="520">
        <v>6</v>
      </c>
      <c r="I909" s="444">
        <v>5.1824141107572297</v>
      </c>
      <c r="J909" s="265">
        <v>5.41882957723743</v>
      </c>
      <c r="K909" s="265">
        <v>5.41882957723743</v>
      </c>
      <c r="L909" s="2535">
        <v>8.9752039628109603</v>
      </c>
      <c r="M909" s="975">
        <v>8.9810522948945195</v>
      </c>
      <c r="N909" s="945">
        <v>8.9150915962965005</v>
      </c>
      <c r="O909" s="1216">
        <v>7.3134726807105404</v>
      </c>
      <c r="P909" s="627">
        <v>7.1056746150462802</v>
      </c>
      <c r="Q909" s="2103">
        <v>7.33845035491722</v>
      </c>
      <c r="R909" s="979">
        <v>9.3420628878325793</v>
      </c>
      <c r="S909" s="927">
        <v>9.1940503814816594</v>
      </c>
      <c r="T909" s="1627">
        <v>9.2483392139353793</v>
      </c>
    </row>
    <row r="910" spans="1:20">
      <c r="A910" t="s">
        <v>2817</v>
      </c>
      <c r="B910" s="6" t="str">
        <f>HYPERLINK("http://www.ncbi.nlm.nih.gov/gene/16403", "16403")</f>
        <v>16403</v>
      </c>
      <c r="C910" s="6" t="str">
        <f>HYPERLINK("http://www.ncbi.nlm.nih.gov/gene/3655", "3655")</f>
        <v>3655</v>
      </c>
      <c r="D910" t="str">
        <f>"Itga6"</f>
        <v>Itga6</v>
      </c>
      <c r="E910" t="s">
        <v>2818</v>
      </c>
      <c r="F910" t="s">
        <v>2804</v>
      </c>
      <c r="G910" t="s">
        <v>2822</v>
      </c>
      <c r="H910" s="520">
        <v>6</v>
      </c>
      <c r="I910" s="452">
        <v>5.0613014095657602</v>
      </c>
      <c r="J910" s="507">
        <v>4.8452799523812002</v>
      </c>
      <c r="K910" s="265">
        <v>5.10599280698389</v>
      </c>
      <c r="L910" s="2536">
        <v>7.8584068145040504</v>
      </c>
      <c r="M910" s="1248">
        <v>7.83669292820277</v>
      </c>
      <c r="N910" s="931">
        <v>7.92608369128547</v>
      </c>
      <c r="O910" s="1628">
        <v>6.7811864337461403</v>
      </c>
      <c r="P910" s="670">
        <v>6.5067854750116796</v>
      </c>
      <c r="Q910" s="2257">
        <v>6.5374527770600999</v>
      </c>
      <c r="R910" s="1182">
        <v>8.1862199680434298</v>
      </c>
      <c r="S910" s="1465">
        <v>7.9734186538117102</v>
      </c>
      <c r="T910" s="1472">
        <v>7.8686079657731103</v>
      </c>
    </row>
    <row r="911" spans="1:20">
      <c r="A911" t="s">
        <v>2823</v>
      </c>
      <c r="B911" s="6" t="str">
        <f>HYPERLINK("http://www.ncbi.nlm.nih.gov/gene/21886", "21886")</f>
        <v>21886</v>
      </c>
      <c r="C911" s="6" t="str">
        <f>HYPERLINK("http://www.ncbi.nlm.nih.gov/gene/7089", "7089")</f>
        <v>7089</v>
      </c>
      <c r="D911" t="str">
        <f>"Tle2"</f>
        <v>Tle2</v>
      </c>
      <c r="E911" t="s">
        <v>2824</v>
      </c>
      <c r="F911" t="s">
        <v>2805</v>
      </c>
      <c r="H911" s="520">
        <v>6</v>
      </c>
      <c r="I911" s="309">
        <v>4.9710893480566396</v>
      </c>
      <c r="J911" s="503">
        <v>4.87616418853578</v>
      </c>
      <c r="K911" s="175">
        <v>5.19651490210566</v>
      </c>
      <c r="L911" s="2537">
        <v>6.3905410656727604</v>
      </c>
      <c r="M911" s="926">
        <v>6.4856687496673704</v>
      </c>
      <c r="N911" s="890">
        <v>6.4716160503786204</v>
      </c>
      <c r="O911" s="1629">
        <v>5.88761383369354</v>
      </c>
      <c r="P911" s="1254">
        <v>5.9218739123519599</v>
      </c>
      <c r="Q911" s="2247">
        <v>5.6220348861440002</v>
      </c>
      <c r="R911" s="918">
        <v>6.5708513527202603</v>
      </c>
      <c r="S911" s="961">
        <v>6.3215154045580899</v>
      </c>
      <c r="T911" s="964">
        <v>6.5535895560267496</v>
      </c>
    </row>
    <row r="912" spans="1:20">
      <c r="A912" t="s">
        <v>2806</v>
      </c>
      <c r="B912" s="6" t="str">
        <f>HYPERLINK("http://www.ncbi.nlm.nih.gov/gene/78303", "78303")</f>
        <v>78303</v>
      </c>
      <c r="C912" s="6" t="str">
        <f>HYPERLINK("http://www.ncbi.nlm.nih.gov/gene/3017", "3017")</f>
        <v>3017</v>
      </c>
      <c r="D912" t="str">
        <f>"Hist3h2ba"</f>
        <v>Hist3h2ba</v>
      </c>
      <c r="E912" t="s">
        <v>2807</v>
      </c>
      <c r="F912" t="s">
        <v>2808</v>
      </c>
      <c r="G912" t="s">
        <v>2809</v>
      </c>
      <c r="H912" s="520">
        <v>6</v>
      </c>
      <c r="I912" s="455">
        <v>3.43772352081157</v>
      </c>
      <c r="J912" s="382">
        <v>3.12026127530372</v>
      </c>
      <c r="K912" s="157">
        <v>3.6598268946422001</v>
      </c>
      <c r="L912" s="2532">
        <v>4.9676110171486902</v>
      </c>
      <c r="M912" s="974">
        <v>5.0140778192136102</v>
      </c>
      <c r="N912" s="1489">
        <v>5.3288039270105001</v>
      </c>
      <c r="O912" s="1227">
        <v>4.1813781665041496</v>
      </c>
      <c r="P912" s="793">
        <v>4.3642016421134198</v>
      </c>
      <c r="Q912" s="2083">
        <v>4.19686749353321</v>
      </c>
      <c r="R912" s="909">
        <v>5.0066987043903497</v>
      </c>
      <c r="S912" s="1182">
        <v>5.2918175947206896</v>
      </c>
      <c r="T912" s="1235">
        <v>5.3157467279280297</v>
      </c>
    </row>
    <row r="913" spans="1:20">
      <c r="A913" t="s">
        <v>2827</v>
      </c>
      <c r="B913" s="6" t="str">
        <f>HYPERLINK("http://www.ncbi.nlm.nih.gov/gene/67888", "67888")</f>
        <v>67888</v>
      </c>
      <c r="C913" s="6" t="str">
        <f>HYPERLINK("http://www.ncbi.nlm.nih.gov/gene/55273", "55273")</f>
        <v>55273</v>
      </c>
      <c r="D913" t="str">
        <f>"Tmem100"</f>
        <v>Tmem100</v>
      </c>
      <c r="E913" t="s">
        <v>2810</v>
      </c>
      <c r="F913" t="s">
        <v>37</v>
      </c>
      <c r="H913" s="520">
        <v>6</v>
      </c>
      <c r="I913" s="390">
        <v>3.5474134485607398</v>
      </c>
      <c r="J913" s="228">
        <v>3.95084614421007</v>
      </c>
      <c r="K913" s="342">
        <v>3.88451116731237</v>
      </c>
      <c r="L913" s="2186">
        <v>5.8854213029014497</v>
      </c>
      <c r="M913" s="975">
        <v>6.1891354668313001</v>
      </c>
      <c r="N913" s="1120">
        <v>6.5952796162127898</v>
      </c>
      <c r="O913" s="1106">
        <v>4.9729443052668998</v>
      </c>
      <c r="P913" s="650">
        <v>5.2732664706785197</v>
      </c>
      <c r="Q913" s="2153">
        <v>5.0749729283711504</v>
      </c>
      <c r="R913" s="844">
        <v>6.1215294129786999</v>
      </c>
      <c r="S913" s="902">
        <v>6.5640277546957897</v>
      </c>
      <c r="T913" s="1630">
        <v>6.1385633303499096</v>
      </c>
    </row>
    <row r="914" spans="1:20">
      <c r="A914" t="s">
        <v>2811</v>
      </c>
      <c r="B914" s="6" t="str">
        <f>HYPERLINK("http://www.ncbi.nlm.nih.gov/gene/15925", "15925")</f>
        <v>15925</v>
      </c>
      <c r="C914" s="6" t="str">
        <f>HYPERLINK("http://www.ncbi.nlm.nih.gov/gene/3416", "3416")</f>
        <v>3416</v>
      </c>
      <c r="D914" t="str">
        <f>"Ide"</f>
        <v>Ide</v>
      </c>
      <c r="E914" t="s">
        <v>2812</v>
      </c>
      <c r="F914" t="s">
        <v>2819</v>
      </c>
      <c r="G914" t="s">
        <v>677</v>
      </c>
      <c r="H914" s="520">
        <v>6</v>
      </c>
      <c r="I914" s="214">
        <v>6.2301267628644998</v>
      </c>
      <c r="J914" s="487">
        <v>5.9411403105944398</v>
      </c>
      <c r="K914" s="429">
        <v>6.0929629569632704</v>
      </c>
      <c r="L914" s="2537">
        <v>7.62597331098626</v>
      </c>
      <c r="M914" s="844">
        <v>7.6345868716932301</v>
      </c>
      <c r="N914" s="1071">
        <v>8.00710771843179</v>
      </c>
      <c r="O914" s="1239">
        <v>7.13553302301339</v>
      </c>
      <c r="P914" s="550">
        <v>6.9711737028319503</v>
      </c>
      <c r="Q914" s="2111">
        <v>7.0197528973992496</v>
      </c>
      <c r="R914" s="945">
        <v>7.6456923889381203</v>
      </c>
      <c r="S914" s="970">
        <v>7.6981879492327199</v>
      </c>
      <c r="T914" s="1619">
        <v>7.5591093484024299</v>
      </c>
    </row>
    <row r="915" spans="1:20">
      <c r="A915" t="s">
        <v>2820</v>
      </c>
      <c r="B915" s="6" t="str">
        <f>HYPERLINK("http://www.ncbi.nlm.nih.gov/gene/11931", "11931")</f>
        <v>11931</v>
      </c>
      <c r="C915" s="6" t="str">
        <f>HYPERLINK("http://www.ncbi.nlm.nih.gov/gene/481", "481")</f>
        <v>481</v>
      </c>
      <c r="D915" t="str">
        <f>"Atp1b1"</f>
        <v>Atp1b1</v>
      </c>
      <c r="E915" t="s">
        <v>2821</v>
      </c>
      <c r="F915" t="s">
        <v>2831</v>
      </c>
      <c r="G915" t="s">
        <v>2813</v>
      </c>
      <c r="H915" s="520">
        <v>6</v>
      </c>
      <c r="I915" s="295">
        <v>6.4563059150076896</v>
      </c>
      <c r="J915" s="508">
        <v>6.2330754151337997</v>
      </c>
      <c r="K915" s="295">
        <v>6.4563059150076896</v>
      </c>
      <c r="L915" s="2536">
        <v>7.94805287839994</v>
      </c>
      <c r="M915" s="882">
        <v>7.7660080047962898</v>
      </c>
      <c r="N915" s="855">
        <v>8.1035997929929007</v>
      </c>
      <c r="O915" s="1377">
        <v>7.4172687201375798</v>
      </c>
      <c r="P915" s="658">
        <v>7.3585906994564301</v>
      </c>
      <c r="Q915" s="2114">
        <v>7.4966523583590297</v>
      </c>
      <c r="R915" s="912">
        <v>7.9482497885683996</v>
      </c>
      <c r="S915" s="888">
        <v>7.9606647791549499</v>
      </c>
      <c r="T915" s="1493">
        <v>7.9608030832913803</v>
      </c>
    </row>
    <row r="916" spans="1:20">
      <c r="A916" t="s">
        <v>2814</v>
      </c>
      <c r="B916" s="6" t="str">
        <f>HYPERLINK("http://www.ncbi.nlm.nih.gov/gene/22066", "22066")</f>
        <v>22066</v>
      </c>
      <c r="C916" s="6" t="str">
        <f>HYPERLINK("http://www.ncbi.nlm.nih.gov/gene/7223", "7223")</f>
        <v>7223</v>
      </c>
      <c r="D916" t="str">
        <f>"Trpc4"</f>
        <v>Trpc4</v>
      </c>
      <c r="E916" t="s">
        <v>2815</v>
      </c>
      <c r="F916" t="s">
        <v>2828</v>
      </c>
      <c r="H916" s="520">
        <v>6</v>
      </c>
      <c r="I916" s="337">
        <v>3.6091505664650998</v>
      </c>
      <c r="J916" s="285">
        <v>3.68587944537399</v>
      </c>
      <c r="K916" s="415">
        <v>3.1514507409471699</v>
      </c>
      <c r="L916" s="2538">
        <v>6.4551232509657899</v>
      </c>
      <c r="M916" s="934">
        <v>6.4766989680550999</v>
      </c>
      <c r="N916" s="1140">
        <v>6.7330769800389403</v>
      </c>
      <c r="O916" s="1112">
        <v>5.1302732530558499</v>
      </c>
      <c r="P916" s="869">
        <v>5.1162016119056304</v>
      </c>
      <c r="Q916" s="2172">
        <v>5.4639247043379404</v>
      </c>
      <c r="R916" s="1429">
        <v>6.2341863795603496</v>
      </c>
      <c r="S916" s="536">
        <v>6.4629113863363701</v>
      </c>
      <c r="T916" s="1631">
        <v>6.4914929045373899</v>
      </c>
    </row>
    <row r="917" spans="1:20">
      <c r="A917" t="s">
        <v>2829</v>
      </c>
      <c r="B917" s="6" t="str">
        <f>HYPERLINK("http://www.ncbi.nlm.nih.gov/gene/15904", "15904")</f>
        <v>15904</v>
      </c>
      <c r="C917" s="6" t="str">
        <f>HYPERLINK("http://www.ncbi.nlm.nih.gov/gene/3400", "3400")</f>
        <v>3400</v>
      </c>
      <c r="D917" t="str">
        <f>"Id4"</f>
        <v>Id4</v>
      </c>
      <c r="E917" t="s">
        <v>2830</v>
      </c>
      <c r="F917" t="s">
        <v>2832</v>
      </c>
      <c r="G917" t="s">
        <v>222</v>
      </c>
      <c r="H917" s="520">
        <v>6</v>
      </c>
      <c r="I917" s="342">
        <v>4.6854028916088604</v>
      </c>
      <c r="J917" s="511">
        <v>4.3232122357977998</v>
      </c>
      <c r="K917" s="429">
        <v>4.5643987889573197</v>
      </c>
      <c r="L917" s="2539">
        <v>6.5572890630579401</v>
      </c>
      <c r="M917" s="890">
        <v>6.8032944050035402</v>
      </c>
      <c r="N917" s="931">
        <v>6.7989165716715299</v>
      </c>
      <c r="O917" s="1239">
        <v>5.9903941133937204</v>
      </c>
      <c r="P917" s="835">
        <v>5.9993927482425597</v>
      </c>
      <c r="Q917" s="2253">
        <v>5.7927820327138404</v>
      </c>
      <c r="R917" s="1475">
        <v>6.7593298872730703</v>
      </c>
      <c r="S917" s="881">
        <v>6.8711429720976698</v>
      </c>
      <c r="T917" s="953">
        <v>6.8188055989871099</v>
      </c>
    </row>
    <row r="918" spans="1:20">
      <c r="A918" t="s">
        <v>2833</v>
      </c>
      <c r="B918" s="6" t="str">
        <f>HYPERLINK("http://www.ncbi.nlm.nih.gov/gene/23937", "23937")</f>
        <v>23937</v>
      </c>
      <c r="C918" s="6" t="str">
        <f>HYPERLINK("http://www.ncbi.nlm.nih.gov/gene/10586", "10586")</f>
        <v>10586</v>
      </c>
      <c r="D918" t="str">
        <f>"Mab21l2"</f>
        <v>Mab21l2</v>
      </c>
      <c r="E918" t="s">
        <v>2834</v>
      </c>
      <c r="F918" t="s">
        <v>2835</v>
      </c>
      <c r="H918" s="520">
        <v>6</v>
      </c>
      <c r="I918" s="423">
        <v>9.1217065720485806</v>
      </c>
      <c r="J918" s="450">
        <v>8.9149582609433402</v>
      </c>
      <c r="K918" s="220">
        <v>9.0664049161977704</v>
      </c>
      <c r="L918" s="2540">
        <v>10.538268737304101</v>
      </c>
      <c r="M918" s="899">
        <v>10.5439357887585</v>
      </c>
      <c r="N918" s="975">
        <v>10.698470321685001</v>
      </c>
      <c r="O918" s="1632">
        <v>10.1615087288897</v>
      </c>
      <c r="P918" s="649">
        <v>10.0314678641725</v>
      </c>
      <c r="Q918" s="2209">
        <v>10.110758953704501</v>
      </c>
      <c r="R918" s="945">
        <v>10.6719561217341</v>
      </c>
      <c r="S918" s="947">
        <v>10.837785650419001</v>
      </c>
      <c r="T918" s="1231">
        <v>10.9271777752588</v>
      </c>
    </row>
    <row r="919" spans="1:20">
      <c r="A919" t="s">
        <v>2836</v>
      </c>
      <c r="B919" s="6" t="str">
        <f>HYPERLINK("http://www.ncbi.nlm.nih.gov/gene/215819", "215819")</f>
        <v>215819</v>
      </c>
      <c r="C919" s="6" t="str">
        <f>HYPERLINK("http://www.ncbi.nlm.nih.gov/gene/57224", "57224")</f>
        <v>57224</v>
      </c>
      <c r="D919" t="str">
        <f>"Nhsl1"</f>
        <v>Nhsl1</v>
      </c>
      <c r="E919" t="s">
        <v>2837</v>
      </c>
      <c r="F919" t="s">
        <v>90</v>
      </c>
      <c r="H919" s="520">
        <v>6</v>
      </c>
      <c r="I919" s="284">
        <v>5.2036626518137403</v>
      </c>
      <c r="J919" s="471">
        <v>4.9641666414606496</v>
      </c>
      <c r="K919" s="285">
        <v>5.12816340694636</v>
      </c>
      <c r="L919" s="2537">
        <v>6.3871264175409204</v>
      </c>
      <c r="M919" s="895">
        <v>6.4200159250502402</v>
      </c>
      <c r="N919" s="559">
        <v>6.7120451745457403</v>
      </c>
      <c r="O919" s="1393">
        <v>5.5227563605853103</v>
      </c>
      <c r="P919" s="1296">
        <v>5.9140088664570198</v>
      </c>
      <c r="Q919" s="2158">
        <v>5.8309638983940699</v>
      </c>
      <c r="R919" s="704">
        <v>6.5174632818264202</v>
      </c>
      <c r="S919" s="981">
        <v>6.4893290149178702</v>
      </c>
      <c r="T919" s="1136">
        <v>6.32422052694971</v>
      </c>
    </row>
    <row r="920" spans="1:20">
      <c r="A920" t="s">
        <v>2838</v>
      </c>
      <c r="B920" s="6" t="str">
        <f>HYPERLINK("http://www.ncbi.nlm.nih.gov/gene/109676", "109676")</f>
        <v>109676</v>
      </c>
      <c r="C920" s="6" t="str">
        <f>HYPERLINK("http://www.ncbi.nlm.nih.gov/gene/", "")</f>
        <v/>
      </c>
      <c r="D920" t="str">
        <f>"Ank2"</f>
        <v>Ank2</v>
      </c>
      <c r="E920" t="s">
        <v>2839</v>
      </c>
      <c r="F920" t="s">
        <v>2840</v>
      </c>
      <c r="H920" s="520">
        <v>6</v>
      </c>
      <c r="I920" s="409">
        <v>4.9286276291110003</v>
      </c>
      <c r="J920" s="509">
        <v>4.7376089776049</v>
      </c>
      <c r="K920" s="361">
        <v>4.9426638969354197</v>
      </c>
      <c r="L920" s="2541">
        <v>5.9276874289132504</v>
      </c>
      <c r="M920" s="842">
        <v>5.8639495898500797</v>
      </c>
      <c r="N920" s="618">
        <v>6.0602078816342502</v>
      </c>
      <c r="O920" s="1051">
        <v>5.2834423932291399</v>
      </c>
      <c r="P920" s="845">
        <v>5.66428738979039</v>
      </c>
      <c r="Q920" s="2222">
        <v>5.4547942018739697</v>
      </c>
      <c r="R920" s="919">
        <v>6.1143876572795</v>
      </c>
      <c r="S920" s="1615">
        <v>5.8769739269484296</v>
      </c>
      <c r="T920" s="940">
        <v>5.7709879716039199</v>
      </c>
    </row>
    <row r="921" spans="1:20">
      <c r="A921" t="s">
        <v>2848</v>
      </c>
      <c r="B921" s="6" t="str">
        <f>HYPERLINK("http://www.ncbi.nlm.nih.gov/gene/218518", "218518")</f>
        <v>218518</v>
      </c>
      <c r="C921" s="6" t="str">
        <f>HYPERLINK("http://www.ncbi.nlm.nih.gov/gene/153562", "153562")</f>
        <v>153562</v>
      </c>
      <c r="D921" t="str">
        <f>"Marveld2"</f>
        <v>Marveld2</v>
      </c>
      <c r="E921" t="s">
        <v>2849</v>
      </c>
      <c r="F921" t="s">
        <v>2850</v>
      </c>
      <c r="H921" s="520">
        <v>6</v>
      </c>
      <c r="I921" s="272">
        <v>3.0357441578955902</v>
      </c>
      <c r="J921" s="285">
        <v>3.0253704512291399</v>
      </c>
      <c r="K921" s="225">
        <v>3.1718230849919502</v>
      </c>
      <c r="L921" s="2542">
        <v>4.20901727792958</v>
      </c>
      <c r="M921" s="899">
        <v>4.14154127370153</v>
      </c>
      <c r="N921" s="614">
        <v>4.4884608274017603</v>
      </c>
      <c r="O921" s="1012">
        <v>3.4205308707667501</v>
      </c>
      <c r="P921" s="654">
        <v>3.6563635574859501</v>
      </c>
      <c r="Q921" s="2093">
        <v>3.3906174774759199</v>
      </c>
      <c r="R921" s="618">
        <v>4.4354104511336203</v>
      </c>
      <c r="S921" s="769">
        <v>4.5229254887428798</v>
      </c>
      <c r="T921" s="1473">
        <v>4.2070693467656204</v>
      </c>
    </row>
    <row r="922" spans="1:20">
      <c r="A922" t="s">
        <v>2851</v>
      </c>
      <c r="B922" s="6" t="str">
        <f>HYPERLINK("http://www.ncbi.nlm.nih.gov/gene/14402", "14402")</f>
        <v>14402</v>
      </c>
      <c r="C922" s="6" t="str">
        <f>HYPERLINK("http://www.ncbi.nlm.nih.gov/gene/2562", "2562")</f>
        <v>2562</v>
      </c>
      <c r="D922" t="str">
        <f>"Gabrb3"</f>
        <v>Gabrb3</v>
      </c>
      <c r="E922" t="s">
        <v>2852</v>
      </c>
      <c r="F922" t="s">
        <v>2841</v>
      </c>
      <c r="G922" t="s">
        <v>106</v>
      </c>
      <c r="H922" s="520">
        <v>6</v>
      </c>
      <c r="I922" s="288">
        <v>4.8792812218786503</v>
      </c>
      <c r="J922" s="343">
        <v>4.5609419717106201</v>
      </c>
      <c r="K922" s="212">
        <v>4.9679601330418501</v>
      </c>
      <c r="L922" s="2537">
        <v>6.9589162495296799</v>
      </c>
      <c r="M922" s="926">
        <v>7.1193901610472397</v>
      </c>
      <c r="N922" s="981">
        <v>7.1350797719402497</v>
      </c>
      <c r="O922" s="1256">
        <v>5.8261307360083299</v>
      </c>
      <c r="P922" s="594">
        <v>5.6626384550325497</v>
      </c>
      <c r="Q922" s="2040">
        <v>5.3286259245182599</v>
      </c>
      <c r="R922" s="923">
        <v>7.0993953849328397</v>
      </c>
      <c r="S922" s="858">
        <v>7.4009010885514197</v>
      </c>
      <c r="T922" s="959">
        <v>7.3175541304251404</v>
      </c>
    </row>
    <row r="923" spans="1:20">
      <c r="A923" t="s">
        <v>2842</v>
      </c>
      <c r="B923" s="6" t="str">
        <f>HYPERLINK("http://www.ncbi.nlm.nih.gov/gene/67451", "67451")</f>
        <v>67451</v>
      </c>
      <c r="C923" s="6" t="str">
        <f>HYPERLINK("http://www.ncbi.nlm.nih.gov/gene/5318", "5318")</f>
        <v>5318</v>
      </c>
      <c r="D923" t="str">
        <f>"Pkp2"</f>
        <v>Pkp2</v>
      </c>
      <c r="E923" t="s">
        <v>2843</v>
      </c>
      <c r="F923" t="s">
        <v>2844</v>
      </c>
      <c r="G923" t="s">
        <v>1324</v>
      </c>
      <c r="H923" s="520">
        <v>6</v>
      </c>
      <c r="I923" s="423">
        <v>3.5250386167996699</v>
      </c>
      <c r="J923" s="210">
        <v>3.7544208016724099</v>
      </c>
      <c r="K923" s="295">
        <v>3.49466354931107</v>
      </c>
      <c r="L923" s="2505">
        <v>5.6757783240420796</v>
      </c>
      <c r="M923" s="923">
        <v>5.61570873242544</v>
      </c>
      <c r="N923" s="934">
        <v>5.5914381184389104</v>
      </c>
      <c r="O923" s="1219">
        <v>4.4069820796730204</v>
      </c>
      <c r="P923" s="655">
        <v>4.4970142041347501</v>
      </c>
      <c r="Q923" s="2065">
        <v>4.3237510629185598</v>
      </c>
      <c r="R923" s="933">
        <v>5.4647218637027004</v>
      </c>
      <c r="S923" s="1157">
        <v>5.9981276521218598</v>
      </c>
      <c r="T923" s="953">
        <v>5.6217787835274704</v>
      </c>
    </row>
    <row r="924" spans="1:20">
      <c r="A924" t="s">
        <v>2857</v>
      </c>
      <c r="B924" s="6" t="str">
        <f>HYPERLINK("http://www.ncbi.nlm.nih.gov/gene/73102", "73102")</f>
        <v>73102</v>
      </c>
      <c r="C924" s="6" t="str">
        <f>HYPERLINK("http://www.ncbi.nlm.nih.gov/gene/63027", "63027")</f>
        <v>63027</v>
      </c>
      <c r="D924" t="str">
        <f>"Slc22a23"</f>
        <v>Slc22a23</v>
      </c>
      <c r="E924" t="s">
        <v>2858</v>
      </c>
      <c r="F924" t="s">
        <v>2859</v>
      </c>
      <c r="H924" s="520">
        <v>6</v>
      </c>
      <c r="I924" s="391">
        <v>3.69835919216619</v>
      </c>
      <c r="J924" s="472">
        <v>3.7167737006884201</v>
      </c>
      <c r="K924" s="135">
        <v>4.3400619047055304</v>
      </c>
      <c r="L924" s="2543">
        <v>6.8663763043071304</v>
      </c>
      <c r="M924" s="938">
        <v>6.7649597649605999</v>
      </c>
      <c r="N924" s="927">
        <v>6.8066235939290696</v>
      </c>
      <c r="O924" s="1288">
        <v>5.1369289962001696</v>
      </c>
      <c r="P924" s="561">
        <v>4.6440425780101497</v>
      </c>
      <c r="Q924" s="2404">
        <v>5.0310228221706002</v>
      </c>
      <c r="R924" s="918">
        <v>6.9121776118821598</v>
      </c>
      <c r="S924" s="885">
        <v>6.8627961779016102</v>
      </c>
      <c r="T924" s="1478">
        <v>6.5357498564315204</v>
      </c>
    </row>
    <row r="925" spans="1:20">
      <c r="A925" t="s">
        <v>2860</v>
      </c>
      <c r="B925" s="6" t="str">
        <f>HYPERLINK("http://www.ncbi.nlm.nih.gov/gene/99899", "99899")</f>
        <v>99899</v>
      </c>
      <c r="C925" s="6" t="str">
        <f>HYPERLINK("http://www.ncbi.nlm.nih.gov/gene/10561", "10561")</f>
        <v>10561</v>
      </c>
      <c r="D925" t="str">
        <f>"Ifi44"</f>
        <v>Ifi44</v>
      </c>
      <c r="E925" t="s">
        <v>2861</v>
      </c>
      <c r="F925" t="s">
        <v>2862</v>
      </c>
      <c r="H925" s="520">
        <v>6</v>
      </c>
      <c r="I925" s="436">
        <v>3.4971636170288001</v>
      </c>
      <c r="J925" s="405">
        <v>3.68877826655106</v>
      </c>
      <c r="K925" s="60">
        <v>4.0597883812489304</v>
      </c>
      <c r="L925" s="2529">
        <v>4.9709202582447203</v>
      </c>
      <c r="M925" s="818">
        <v>5.2986219572799298</v>
      </c>
      <c r="N925" s="1082">
        <v>5.3789487877561104</v>
      </c>
      <c r="O925" s="1005">
        <v>3.9926325006167702</v>
      </c>
      <c r="P925" s="892">
        <v>4.3292159648090802</v>
      </c>
      <c r="Q925" s="2151">
        <v>4.2959760615865701</v>
      </c>
      <c r="R925" s="758">
        <v>4.9489700034014898</v>
      </c>
      <c r="S925" s="697">
        <v>5.6655907843723403</v>
      </c>
      <c r="T925" s="1458">
        <v>5.0493799658338796</v>
      </c>
    </row>
    <row r="926" spans="1:20">
      <c r="A926" t="s">
        <v>2863</v>
      </c>
      <c r="B926" s="6" t="str">
        <f>HYPERLINK("http://www.ncbi.nlm.nih.gov/gene/75607", "75607")</f>
        <v>75607</v>
      </c>
      <c r="C926" s="6" t="str">
        <f>HYPERLINK("http://www.ncbi.nlm.nih.gov/gene/65268", "65268")</f>
        <v>65268</v>
      </c>
      <c r="D926" t="str">
        <f>"Wnk2"</f>
        <v>Wnk2</v>
      </c>
      <c r="E926" t="s">
        <v>2864</v>
      </c>
      <c r="F926" t="s">
        <v>2845</v>
      </c>
      <c r="H926" s="520">
        <v>6</v>
      </c>
      <c r="I926" s="468">
        <v>4.8364283372532597</v>
      </c>
      <c r="J926" s="150">
        <v>4.8471807399298203</v>
      </c>
      <c r="K926" s="289">
        <v>4.7713504764575596</v>
      </c>
      <c r="L926" s="2415">
        <v>6.4972320097660097</v>
      </c>
      <c r="M926" s="823">
        <v>6.4757741015447401</v>
      </c>
      <c r="N926" s="858">
        <v>6.3748221214790997</v>
      </c>
      <c r="O926" s="1360">
        <v>5.3888116964742201</v>
      </c>
      <c r="P926" s="1215">
        <v>5.50748951585161</v>
      </c>
      <c r="Q926" s="2042">
        <v>5.0884214358414104</v>
      </c>
      <c r="R926" s="901">
        <v>5.9840658097204296</v>
      </c>
      <c r="S926" s="1414">
        <v>6.0221923404441098</v>
      </c>
      <c r="T926" s="1633">
        <v>5.9067113645044902</v>
      </c>
    </row>
    <row r="927" spans="1:20">
      <c r="A927" t="s">
        <v>2846</v>
      </c>
      <c r="B927" s="6" t="str">
        <f>HYPERLINK("http://www.ncbi.nlm.nih.gov/gene/18481", "18481")</f>
        <v>18481</v>
      </c>
      <c r="C927" s="6" t="str">
        <f>HYPERLINK("http://www.ncbi.nlm.nih.gov/gene/5063", "5063")</f>
        <v>5063</v>
      </c>
      <c r="D927" t="str">
        <f>"Pak3"</f>
        <v>Pak3</v>
      </c>
      <c r="E927" t="s">
        <v>2847</v>
      </c>
      <c r="F927" t="s">
        <v>2853</v>
      </c>
      <c r="G927" t="s">
        <v>2854</v>
      </c>
      <c r="H927" s="520">
        <v>6</v>
      </c>
      <c r="I927" s="391">
        <v>3.3106883919205301</v>
      </c>
      <c r="J927" s="100">
        <v>3.5938968785107099</v>
      </c>
      <c r="K927" s="449">
        <v>3.39240032676972</v>
      </c>
      <c r="L927" s="2440">
        <v>5.7820329054706203</v>
      </c>
      <c r="M927" s="858">
        <v>5.6512967971967498</v>
      </c>
      <c r="N927" s="571">
        <v>5.90095293994648</v>
      </c>
      <c r="O927" s="1106">
        <v>4.3236459978455404</v>
      </c>
      <c r="P927" s="738">
        <v>4.3471545780219998</v>
      </c>
      <c r="Q927" s="2160">
        <v>4.3501238924442296</v>
      </c>
      <c r="R927" s="764">
        <v>4.9370966715798001</v>
      </c>
      <c r="S927" s="1250">
        <v>5.1445178062978201</v>
      </c>
      <c r="T927" s="1500">
        <v>4.9273029339235404</v>
      </c>
    </row>
    <row r="928" spans="1:20">
      <c r="A928" t="s">
        <v>2855</v>
      </c>
      <c r="B928" s="6" t="str">
        <f>HYPERLINK("http://www.ncbi.nlm.nih.gov/gene/226352", "226352")</f>
        <v>226352</v>
      </c>
      <c r="C928" s="6" t="str">
        <f>HYPERLINK("http://www.ncbi.nlm.nih.gov/gene/57669", "57669")</f>
        <v>57669</v>
      </c>
      <c r="D928" t="str">
        <f>"Epb4.1l5"</f>
        <v>Epb4.1l5</v>
      </c>
      <c r="E928" t="s">
        <v>2856</v>
      </c>
      <c r="F928" t="s">
        <v>2865</v>
      </c>
      <c r="H928" s="520">
        <v>6</v>
      </c>
      <c r="I928" s="150">
        <v>6.5255313198003497</v>
      </c>
      <c r="J928" s="472">
        <v>6.4088267052031203</v>
      </c>
      <c r="K928" s="450">
        <v>6.2880390118478502</v>
      </c>
      <c r="L928" s="2544">
        <v>7.6735219207859302</v>
      </c>
      <c r="M928" s="742">
        <v>7.7207051677914302</v>
      </c>
      <c r="N928" s="634">
        <v>7.6496447836680899</v>
      </c>
      <c r="O928" s="1131">
        <v>7.1324248844910096</v>
      </c>
      <c r="P928" s="720">
        <v>7.1478624973494496</v>
      </c>
      <c r="Q928" s="2101">
        <v>6.9502855956533498</v>
      </c>
      <c r="R928" s="974">
        <v>7.4609070710354102</v>
      </c>
      <c r="S928" s="824">
        <v>7.3164433588175104</v>
      </c>
      <c r="T928" s="1531">
        <v>7.2528392773665402</v>
      </c>
    </row>
    <row r="929" spans="1:20">
      <c r="A929" t="s">
        <v>2866</v>
      </c>
      <c r="B929" s="6" t="str">
        <f>HYPERLINK("http://www.ncbi.nlm.nih.gov/gene/13808", "13808")</f>
        <v>13808</v>
      </c>
      <c r="C929" s="6" t="str">
        <f>HYPERLINK("http://www.ncbi.nlm.nih.gov/gene/2027", "2027")</f>
        <v>2027</v>
      </c>
      <c r="D929" t="str">
        <f>"Eno3"</f>
        <v>Eno3</v>
      </c>
      <c r="E929" t="s">
        <v>2867</v>
      </c>
      <c r="F929" t="s">
        <v>2868</v>
      </c>
      <c r="G929" t="s">
        <v>2869</v>
      </c>
      <c r="H929" s="520">
        <v>6</v>
      </c>
      <c r="I929" s="306">
        <v>6.8209349921243403</v>
      </c>
      <c r="J929" s="493">
        <v>6.5663272581809604</v>
      </c>
      <c r="K929" s="285">
        <v>6.7680592873740002</v>
      </c>
      <c r="L929" s="2399">
        <v>8.7379127451872201</v>
      </c>
      <c r="M929" s="823">
        <v>8.6889510562534191</v>
      </c>
      <c r="N929" s="618">
        <v>8.5369167708715707</v>
      </c>
      <c r="O929" s="1382">
        <v>7.7165354384831</v>
      </c>
      <c r="P929" s="1326">
        <v>7.6042816577478396</v>
      </c>
      <c r="Q929" s="2257">
        <v>7.5555309745717301</v>
      </c>
      <c r="R929" s="1532">
        <v>7.9827435679930199</v>
      </c>
      <c r="S929" s="950">
        <v>7.9758284851872698</v>
      </c>
      <c r="T929" s="1633">
        <v>8.0468333608391607</v>
      </c>
    </row>
    <row r="930" spans="1:20">
      <c r="A930" t="s">
        <v>2870</v>
      </c>
      <c r="B930" s="6" t="str">
        <f>HYPERLINK("http://www.ncbi.nlm.nih.gov/gene/12053", "12053")</f>
        <v>12053</v>
      </c>
      <c r="C930" s="6" t="str">
        <f>HYPERLINK("http://www.ncbi.nlm.nih.gov/gene/604", "604")</f>
        <v>604</v>
      </c>
      <c r="D930" t="str">
        <f>"Bcl6"</f>
        <v>Bcl6</v>
      </c>
      <c r="E930" t="s">
        <v>2871</v>
      </c>
      <c r="F930" t="s">
        <v>2872</v>
      </c>
      <c r="H930" s="520">
        <v>6</v>
      </c>
      <c r="I930" s="433">
        <v>4.52987956570135</v>
      </c>
      <c r="J930" s="424">
        <v>4.5266245694764704</v>
      </c>
      <c r="K930" s="84">
        <v>4.7578036780690702</v>
      </c>
      <c r="L930" s="2545">
        <v>5.5389011067656702</v>
      </c>
      <c r="M930" s="858">
        <v>5.6531928589299199</v>
      </c>
      <c r="N930" s="639">
        <v>5.72735407815152</v>
      </c>
      <c r="O930" s="1634">
        <v>5.1103779482279101</v>
      </c>
      <c r="P930" s="830">
        <v>5.1798451970019599</v>
      </c>
      <c r="Q930" s="2258">
        <v>5.1387960175104999</v>
      </c>
      <c r="R930" s="763">
        <v>5.3459470440346299</v>
      </c>
      <c r="S930" s="845">
        <v>5.2933434915460804</v>
      </c>
      <c r="T930" s="1238">
        <v>5.5519728113117299</v>
      </c>
    </row>
    <row r="931" spans="1:20">
      <c r="A931" t="s">
        <v>2891</v>
      </c>
      <c r="B931" s="6" t="str">
        <f>HYPERLINK("http://www.ncbi.nlm.nih.gov/gene/209200", "209200")</f>
        <v>209200</v>
      </c>
      <c r="C931" s="6" t="str">
        <f>HYPERLINK("http://www.ncbi.nlm.nih.gov/gene/151636", "151636")</f>
        <v>151636</v>
      </c>
      <c r="D931" t="str">
        <f>"Dtx3l"</f>
        <v>Dtx3l</v>
      </c>
      <c r="E931" t="s">
        <v>2892</v>
      </c>
      <c r="F931" t="s">
        <v>2893</v>
      </c>
      <c r="G931" t="s">
        <v>572</v>
      </c>
      <c r="H931" s="520">
        <v>6</v>
      </c>
      <c r="I931" s="306">
        <v>4.3165655310038096</v>
      </c>
      <c r="J931" s="502">
        <v>4.1582404126016899</v>
      </c>
      <c r="K931" s="405">
        <v>4.3084112648564297</v>
      </c>
      <c r="L931" s="1993">
        <v>5.31141652040984</v>
      </c>
      <c r="M931" s="590">
        <v>5.65200930216686</v>
      </c>
      <c r="N931" s="753">
        <v>5.6068761290325302</v>
      </c>
      <c r="O931" s="1360">
        <v>4.7558688360147903</v>
      </c>
      <c r="P931" s="670">
        <v>4.8105089439534003</v>
      </c>
      <c r="Q931" s="2168">
        <v>4.8592142677701302</v>
      </c>
      <c r="R931" s="775">
        <v>5.2361789517885802</v>
      </c>
      <c r="S931" s="934">
        <v>5.3714084923555099</v>
      </c>
      <c r="T931" s="1545">
        <v>5.0653432487832299</v>
      </c>
    </row>
    <row r="932" spans="1:20">
      <c r="A932" t="s">
        <v>2894</v>
      </c>
      <c r="B932" s="6" t="str">
        <f>HYPERLINK("http://www.ncbi.nlm.nih.gov/gene/18415", "18415")</f>
        <v>18415</v>
      </c>
      <c r="C932" s="6" t="str">
        <f>HYPERLINK("http://www.ncbi.nlm.nih.gov/gene/22824", "22824")</f>
        <v>22824</v>
      </c>
      <c r="D932" t="str">
        <f>"Hspa4l"</f>
        <v>Hspa4l</v>
      </c>
      <c r="E932" t="s">
        <v>2895</v>
      </c>
      <c r="F932" t="s">
        <v>2896</v>
      </c>
      <c r="G932" t="s">
        <v>2897</v>
      </c>
      <c r="H932" s="520">
        <v>6</v>
      </c>
      <c r="I932" s="285">
        <v>3.7146272310159101</v>
      </c>
      <c r="J932" s="503">
        <v>3.4199981905477799</v>
      </c>
      <c r="K932" s="343">
        <v>3.5677991975035801</v>
      </c>
      <c r="L932" s="2527">
        <v>5.7341064831876096</v>
      </c>
      <c r="M932" s="1475">
        <v>5.5954319859626303</v>
      </c>
      <c r="N932" s="639">
        <v>6.0335173247640803</v>
      </c>
      <c r="O932" s="1334">
        <v>4.87798799968163</v>
      </c>
      <c r="P932" s="942">
        <v>4.9892692947727397</v>
      </c>
      <c r="Q932" s="2182">
        <v>4.7879766405966402</v>
      </c>
      <c r="R932" s="1267">
        <v>5.1654668123911698</v>
      </c>
      <c r="S932" s="934">
        <v>5.6232145849190296</v>
      </c>
      <c r="T932" s="1525">
        <v>5.2579095254870198</v>
      </c>
    </row>
    <row r="933" spans="1:20">
      <c r="A933" t="s">
        <v>2898</v>
      </c>
      <c r="B933" s="6" t="str">
        <f>HYPERLINK("http://www.ncbi.nlm.nih.gov/gene/108699", "108699")</f>
        <v>108699</v>
      </c>
      <c r="C933" s="6" t="str">
        <f>HYPERLINK("http://www.ncbi.nlm.nih.gov/gene/1123", "1123")</f>
        <v>1123</v>
      </c>
      <c r="D933" t="str">
        <f>"Chn1"</f>
        <v>Chn1</v>
      </c>
      <c r="E933" t="s">
        <v>2899</v>
      </c>
      <c r="F933" t="s">
        <v>2873</v>
      </c>
      <c r="H933" s="520">
        <v>6</v>
      </c>
      <c r="I933" s="449">
        <v>5.8527915795194696</v>
      </c>
      <c r="J933" s="399">
        <v>5.7043624008137401</v>
      </c>
      <c r="K933" s="405">
        <v>5.9059405015300799</v>
      </c>
      <c r="L933" s="2534">
        <v>7.0529287746213001</v>
      </c>
      <c r="M933" s="1465">
        <v>7.0584299104738397</v>
      </c>
      <c r="N933" s="1132">
        <v>7.2973724699691704</v>
      </c>
      <c r="O933" s="1208">
        <v>6.5796793260904503</v>
      </c>
      <c r="P933" s="592">
        <v>6.3257326505078098</v>
      </c>
      <c r="Q933" s="2167">
        <v>6.53886322127084</v>
      </c>
      <c r="R933" s="763">
        <v>6.78917689669436</v>
      </c>
      <c r="S933" s="1429">
        <v>6.9310398851105397</v>
      </c>
      <c r="T933" s="957">
        <v>7.0753131549990904</v>
      </c>
    </row>
    <row r="934" spans="1:20">
      <c r="A934" t="s">
        <v>2874</v>
      </c>
      <c r="B934" s="6" t="str">
        <f>HYPERLINK("http://www.ncbi.nlm.nih.gov/gene/83398", "83398")</f>
        <v>83398</v>
      </c>
      <c r="C934" s="6" t="str">
        <f>HYPERLINK("http://www.ncbi.nlm.nih.gov/gene/9348", "9348")</f>
        <v>9348</v>
      </c>
      <c r="D934" t="str">
        <f>"Ndst3"</f>
        <v>Ndst3</v>
      </c>
      <c r="E934" t="s">
        <v>2875</v>
      </c>
      <c r="F934" t="s">
        <v>2876</v>
      </c>
      <c r="G934" t="s">
        <v>750</v>
      </c>
      <c r="H934" s="520">
        <v>6</v>
      </c>
      <c r="I934" s="354">
        <v>2.80630862667378</v>
      </c>
      <c r="J934" s="243">
        <v>2.58454806980231</v>
      </c>
      <c r="K934" s="510">
        <v>2.5040739425859999</v>
      </c>
      <c r="L934" s="1987">
        <v>5.7389964108954299</v>
      </c>
      <c r="M934" s="926">
        <v>5.7416462133978099</v>
      </c>
      <c r="N934" s="689">
        <v>6.3954863667592603</v>
      </c>
      <c r="O934" s="1396">
        <v>3.9683949144432402</v>
      </c>
      <c r="P934" s="869">
        <v>4.2257092199056503</v>
      </c>
      <c r="Q934" s="2053">
        <v>3.9612708068011901</v>
      </c>
      <c r="R934" s="928">
        <v>5.2886173093524897</v>
      </c>
      <c r="S934" s="536">
        <v>5.6676575352905498</v>
      </c>
      <c r="T934" s="932">
        <v>5.6980962057020701</v>
      </c>
    </row>
    <row r="935" spans="1:20">
      <c r="A935" t="s">
        <v>2877</v>
      </c>
      <c r="B935" s="6" t="str">
        <f>HYPERLINK("http://www.ncbi.nlm.nih.gov/gene/15569", "15569")</f>
        <v>15569</v>
      </c>
      <c r="C935" s="6" t="str">
        <f>HYPERLINK("http://www.ncbi.nlm.nih.gov/gene/1993", "1993")</f>
        <v>1993</v>
      </c>
      <c r="D935" t="str">
        <f>"Elavl2"</f>
        <v>Elavl2</v>
      </c>
      <c r="E935" t="s">
        <v>2878</v>
      </c>
      <c r="F935" t="s">
        <v>2879</v>
      </c>
      <c r="H935" s="520">
        <v>6</v>
      </c>
      <c r="I935" s="284">
        <v>4.1130133443693699</v>
      </c>
      <c r="J935" s="243">
        <v>3.9935691431671398</v>
      </c>
      <c r="K935" s="428">
        <v>3.8509864907749098</v>
      </c>
      <c r="L935" s="2184">
        <v>5.3265028047956404</v>
      </c>
      <c r="M935" s="945">
        <v>5.3403848272554599</v>
      </c>
      <c r="N935" s="1022">
        <v>5.8689192330045703</v>
      </c>
      <c r="O935" s="1032">
        <v>4.7585456330243003</v>
      </c>
      <c r="P935" s="869">
        <v>4.7333038144913804</v>
      </c>
      <c r="Q935" s="2168">
        <v>4.7597068063606498</v>
      </c>
      <c r="R935" s="882">
        <v>5.1930952380956903</v>
      </c>
      <c r="S935" s="771">
        <v>5.3209806081806601</v>
      </c>
      <c r="T935" s="914">
        <v>5.2477638846839501</v>
      </c>
    </row>
    <row r="936" spans="1:20">
      <c r="A936" t="s">
        <v>2880</v>
      </c>
      <c r="B936" s="6" t="str">
        <f>HYPERLINK("http://www.ncbi.nlm.nih.gov/gene/71296", "71296")</f>
        <v>71296</v>
      </c>
      <c r="C936" s="6" t="str">
        <f>HYPERLINK("http://www.ncbi.nlm.nih.gov/gene/", "")</f>
        <v/>
      </c>
      <c r="D936" t="str">
        <f>"4933436C20Rik"</f>
        <v>4933436C20Rik</v>
      </c>
      <c r="E936" t="s">
        <v>2881</v>
      </c>
      <c r="F936" t="s">
        <v>90</v>
      </c>
      <c r="H936" s="520">
        <v>6</v>
      </c>
      <c r="I936" s="446">
        <v>4.1120132052125102</v>
      </c>
      <c r="J936" s="88">
        <v>4.9139353159989696</v>
      </c>
      <c r="K936" s="337">
        <v>4.5516576622539997</v>
      </c>
      <c r="L936" s="2546">
        <v>5.7645606234118603</v>
      </c>
      <c r="M936" s="858">
        <v>5.9338533075146698</v>
      </c>
      <c r="N936" s="975">
        <v>5.7469237202794501</v>
      </c>
      <c r="O936" s="1216">
        <v>5.1890487153742297</v>
      </c>
      <c r="P936" s="833">
        <v>5.3297180321978699</v>
      </c>
      <c r="Q936" s="2114">
        <v>5.3795474945358697</v>
      </c>
      <c r="R936" s="961">
        <v>5.6493843745136401</v>
      </c>
      <c r="S936" s="955">
        <v>5.5474824896303296</v>
      </c>
      <c r="T936" s="1630">
        <v>5.7208904018756703</v>
      </c>
    </row>
    <row r="937" spans="1:20">
      <c r="A937" t="s">
        <v>2882</v>
      </c>
      <c r="B937" s="6" t="str">
        <f>HYPERLINK("http://www.ncbi.nlm.nih.gov/gene/72634", "72634")</f>
        <v>72634</v>
      </c>
      <c r="C937" s="6" t="str">
        <f>HYPERLINK("http://www.ncbi.nlm.nih.gov/gene/11022", "11022")</f>
        <v>11022</v>
      </c>
      <c r="D937" t="str">
        <f>"Tdrkh"</f>
        <v>Tdrkh</v>
      </c>
      <c r="E937" t="s">
        <v>2883</v>
      </c>
      <c r="F937" t="s">
        <v>2884</v>
      </c>
      <c r="H937" s="520">
        <v>6</v>
      </c>
      <c r="I937" s="100">
        <v>3.3574941823885802</v>
      </c>
      <c r="J937" s="499">
        <v>2.9712322800298301</v>
      </c>
      <c r="K937" s="39">
        <v>3.4666509184741701</v>
      </c>
      <c r="L937" s="2401">
        <v>4.5154099175651599</v>
      </c>
      <c r="M937" s="1233">
        <v>4.4204508403834204</v>
      </c>
      <c r="N937" s="1457">
        <v>4.2313741422666702</v>
      </c>
      <c r="O937" s="1607">
        <v>3.6849254853694502</v>
      </c>
      <c r="P937" s="913">
        <v>3.93519924569837</v>
      </c>
      <c r="Q937" s="2210">
        <v>4.1361600288006102</v>
      </c>
      <c r="R937" s="700">
        <v>3.8242370087996398</v>
      </c>
      <c r="S937" s="1489">
        <v>4.4161090639662701</v>
      </c>
      <c r="T937" s="1389">
        <v>3.88456716400932</v>
      </c>
    </row>
    <row r="938" spans="1:20">
      <c r="A938" t="s">
        <v>2885</v>
      </c>
      <c r="B938" s="6" t="str">
        <f>HYPERLINK("http://www.ncbi.nlm.nih.gov/gene/14782", "14782")</f>
        <v>14782</v>
      </c>
      <c r="C938" s="6" t="str">
        <f>HYPERLINK("http://www.ncbi.nlm.nih.gov/gene/2936", "2936")</f>
        <v>2936</v>
      </c>
      <c r="D938" t="str">
        <f>"Gsr"</f>
        <v>Gsr</v>
      </c>
      <c r="E938" t="s">
        <v>2886</v>
      </c>
      <c r="F938" t="s">
        <v>2887</v>
      </c>
      <c r="G938" t="s">
        <v>2888</v>
      </c>
      <c r="H938" s="520">
        <v>6</v>
      </c>
      <c r="I938" s="493">
        <v>5.8001390170113396</v>
      </c>
      <c r="J938" s="440">
        <v>5.8435248703098299</v>
      </c>
      <c r="K938" s="512">
        <v>5.7766075410364204</v>
      </c>
      <c r="L938" s="1973">
        <v>6.9668988881327998</v>
      </c>
      <c r="M938" s="1497">
        <v>6.7574311746412796</v>
      </c>
      <c r="N938" s="981">
        <v>7.1175361331833997</v>
      </c>
      <c r="O938" s="941">
        <v>6.8305064057948002</v>
      </c>
      <c r="P938" s="916">
        <v>6.7747324229296702</v>
      </c>
      <c r="Q938" s="2205">
        <v>6.7324569194908896</v>
      </c>
      <c r="R938" s="934">
        <v>7.0896957092634398</v>
      </c>
      <c r="S938" s="888">
        <v>7.07511946163104</v>
      </c>
      <c r="T938" s="1623">
        <v>7.0890336012233703</v>
      </c>
    </row>
    <row r="939" spans="1:20">
      <c r="A939" t="s">
        <v>2889</v>
      </c>
      <c r="B939" s="6" t="str">
        <f>HYPERLINK("http://www.ncbi.nlm.nih.gov/gene/18121", "18121")</f>
        <v>18121</v>
      </c>
      <c r="C939" s="6" t="str">
        <f>HYPERLINK("http://www.ncbi.nlm.nih.gov/gene/9241", "9241")</f>
        <v>9241</v>
      </c>
      <c r="D939" t="str">
        <f>"Nog"</f>
        <v>Nog</v>
      </c>
      <c r="E939" t="s">
        <v>2890</v>
      </c>
      <c r="F939" t="s">
        <v>2900</v>
      </c>
      <c r="G939" t="s">
        <v>222</v>
      </c>
      <c r="H939" s="520">
        <v>6</v>
      </c>
      <c r="I939" s="354">
        <v>3.8991139794160898</v>
      </c>
      <c r="J939" s="490">
        <v>3.54123359979243</v>
      </c>
      <c r="K939" s="400">
        <v>3.6045421258535799</v>
      </c>
      <c r="L939" s="2547">
        <v>4.9582065683537104</v>
      </c>
      <c r="M939" s="844">
        <v>5.1200640269212396</v>
      </c>
      <c r="N939" s="924">
        <v>5.0539803661463498</v>
      </c>
      <c r="O939" s="1312">
        <v>4.9453297462143997</v>
      </c>
      <c r="P939" s="1301">
        <v>4.8817642989515901</v>
      </c>
      <c r="Q939" s="2165">
        <v>4.6453065078416902</v>
      </c>
      <c r="R939" s="933">
        <v>5.0944144256860699</v>
      </c>
      <c r="S939" s="923">
        <v>5.1959976939405896</v>
      </c>
      <c r="T939" s="1455">
        <v>5.1526081160510699</v>
      </c>
    </row>
    <row r="940" spans="1:20">
      <c r="A940" t="s">
        <v>2913</v>
      </c>
      <c r="B940" s="6" t="str">
        <f>HYPERLINK("http://www.ncbi.nlm.nih.gov/gene/100502984", "100502984")</f>
        <v>100502984</v>
      </c>
      <c r="C940" s="6" t="str">
        <f>HYPERLINK("http://www.ncbi.nlm.nih.gov/gene/", "")</f>
        <v/>
      </c>
      <c r="D940" t="str">
        <f>"Gm19487"</f>
        <v>Gm19487</v>
      </c>
      <c r="E940" t="s">
        <v>2914</v>
      </c>
      <c r="H940" s="520">
        <v>6</v>
      </c>
      <c r="I940" s="390">
        <v>3.8202102116101</v>
      </c>
      <c r="J940" s="440">
        <v>3.8951596496718999</v>
      </c>
      <c r="K940" s="440">
        <v>3.8933047524720301</v>
      </c>
      <c r="L940" s="2502">
        <v>5.4490095785178596</v>
      </c>
      <c r="M940" s="527">
        <v>5.1758495920312297</v>
      </c>
      <c r="N940" s="966">
        <v>4.9728170623295798</v>
      </c>
      <c r="O940" s="1406">
        <v>4.9515706393859196</v>
      </c>
      <c r="P940" s="913">
        <v>4.8126196899826796</v>
      </c>
      <c r="Q940" s="2118">
        <v>4.8168291390261802</v>
      </c>
      <c r="R940" s="844">
        <v>5.19244745481351</v>
      </c>
      <c r="S940" s="1457">
        <v>5.1710637569437203</v>
      </c>
      <c r="T940" s="1486">
        <v>5.1476579023850197</v>
      </c>
    </row>
    <row r="941" spans="1:20">
      <c r="A941" t="s">
        <v>2915</v>
      </c>
      <c r="B941" s="6" t="str">
        <f>HYPERLINK("http://www.ncbi.nlm.nih.gov/gene/100862086", "100862086")</f>
        <v>100862086</v>
      </c>
      <c r="C941" s="6" t="str">
        <f>HYPERLINK("http://www.ncbi.nlm.nih.gov/gene/", "")</f>
        <v/>
      </c>
      <c r="D941" t="str">
        <f>"LOC100862086"</f>
        <v>LOC100862086</v>
      </c>
      <c r="E941" t="s">
        <v>2916</v>
      </c>
      <c r="H941" s="520">
        <v>6</v>
      </c>
      <c r="I941" s="397">
        <v>5.2405523860269101</v>
      </c>
      <c r="J941" s="391">
        <v>5.4570998958910399</v>
      </c>
      <c r="K941" s="349">
        <v>5.4963023592721303</v>
      </c>
      <c r="L941" s="2548">
        <v>6.40414462748757</v>
      </c>
      <c r="M941" s="930">
        <v>6.6475540765503798</v>
      </c>
      <c r="N941" s="1090">
        <v>6.3216773503878203</v>
      </c>
      <c r="O941" s="965">
        <v>6.2747473130156299</v>
      </c>
      <c r="P941" s="816">
        <v>6.4094955459610796</v>
      </c>
      <c r="Q941" s="2188">
        <v>6.2602717137983497</v>
      </c>
      <c r="R941" s="933">
        <v>6.5423530148589402</v>
      </c>
      <c r="S941" s="548">
        <v>6.7365949974018999</v>
      </c>
      <c r="T941" s="1031">
        <v>6.5824647315020899</v>
      </c>
    </row>
    <row r="942" spans="1:20">
      <c r="A942" t="s">
        <v>2917</v>
      </c>
      <c r="B942" s="6" t="str">
        <f>HYPERLINK("http://www.ncbi.nlm.nih.gov/gene/107587", "107587")</f>
        <v>107587</v>
      </c>
      <c r="C942" s="6" t="str">
        <f>HYPERLINK("http://www.ncbi.nlm.nih.gov/gene/116039", "116039")</f>
        <v>116039</v>
      </c>
      <c r="D942" t="str">
        <f>"Osr2"</f>
        <v>Osr2</v>
      </c>
      <c r="E942" t="s">
        <v>2918</v>
      </c>
      <c r="F942" t="s">
        <v>2901</v>
      </c>
      <c r="H942" s="520">
        <v>6</v>
      </c>
      <c r="I942" s="493">
        <v>4.9484428334601303</v>
      </c>
      <c r="J942" s="415">
        <v>4.7875051646179001</v>
      </c>
      <c r="K942" s="278">
        <v>5.1149610482692101</v>
      </c>
      <c r="L942" s="2008">
        <v>7.2372523833178004</v>
      </c>
      <c r="M942" s="961">
        <v>7.37557291921852</v>
      </c>
      <c r="N942" s="882">
        <v>7.2645049679188203</v>
      </c>
      <c r="O942" s="1099">
        <v>6.8137230951652601</v>
      </c>
      <c r="P942" s="801">
        <v>7.2562520958206997</v>
      </c>
      <c r="Q942" s="2393">
        <v>7.0047934631176201</v>
      </c>
      <c r="R942" s="1485">
        <v>7.2737531327127396</v>
      </c>
      <c r="S942" s="930">
        <v>7.6941730801509296</v>
      </c>
      <c r="T942" s="1635">
        <v>7.7939876287232499</v>
      </c>
    </row>
    <row r="943" spans="1:20">
      <c r="A943" t="s">
        <v>2902</v>
      </c>
      <c r="B943" s="6" t="str">
        <f>HYPERLINK("http://www.ncbi.nlm.nih.gov/gene/14264", "14264")</f>
        <v>14264</v>
      </c>
      <c r="C943" s="6" t="str">
        <f>HYPERLINK("http://www.ncbi.nlm.nih.gov/gene/2331", "2331")</f>
        <v>2331</v>
      </c>
      <c r="D943" t="str">
        <f>"Fmod"</f>
        <v>Fmod</v>
      </c>
      <c r="E943" t="s">
        <v>2903</v>
      </c>
      <c r="F943" t="s">
        <v>2904</v>
      </c>
      <c r="H943" s="520">
        <v>6</v>
      </c>
      <c r="I943" s="468">
        <v>6.1271895030930903</v>
      </c>
      <c r="J943" s="446">
        <v>5.4299858940954904</v>
      </c>
      <c r="K943" s="429">
        <v>5.89075342645482</v>
      </c>
      <c r="L943" s="2537">
        <v>7.8908047644967496</v>
      </c>
      <c r="M943" s="912">
        <v>7.9442843871858999</v>
      </c>
      <c r="N943" s="536">
        <v>7.9737097035766196</v>
      </c>
      <c r="O943" s="1130">
        <v>7.2675163530337903</v>
      </c>
      <c r="P943" s="798">
        <v>7.2712606717692703</v>
      </c>
      <c r="Q943" s="2393">
        <v>7.4830317588515296</v>
      </c>
      <c r="R943" s="844">
        <v>7.8957953650047301</v>
      </c>
      <c r="S943" s="844">
        <v>7.8973967869229504</v>
      </c>
      <c r="T943" s="1636">
        <v>7.8398633037233099</v>
      </c>
    </row>
    <row r="944" spans="1:20">
      <c r="A944" t="s">
        <v>2905</v>
      </c>
      <c r="B944" s="6" t="str">
        <f>HYPERLINK("http://www.ncbi.nlm.nih.gov/gene/18798", "18798")</f>
        <v>18798</v>
      </c>
      <c r="C944" s="6" t="str">
        <f>HYPERLINK("http://www.ncbi.nlm.nih.gov/gene/5332", "5332")</f>
        <v>5332</v>
      </c>
      <c r="D944" t="str">
        <f>"Plcb4"</f>
        <v>Plcb4</v>
      </c>
      <c r="E944" t="s">
        <v>2906</v>
      </c>
      <c r="F944" t="s">
        <v>2937</v>
      </c>
      <c r="G944" t="s">
        <v>2907</v>
      </c>
      <c r="H944" s="520">
        <v>6</v>
      </c>
      <c r="I944" s="444">
        <v>6.3009860603426899</v>
      </c>
      <c r="J944" s="514">
        <v>6.0465034127942099</v>
      </c>
      <c r="K944" s="212">
        <v>6.6018069727119499</v>
      </c>
      <c r="L944" s="2527">
        <v>8.0950300671518907</v>
      </c>
      <c r="M944" s="967">
        <v>8.0871430577732699</v>
      </c>
      <c r="N944" s="704">
        <v>8.0791153191893006</v>
      </c>
      <c r="O944" s="1278">
        <v>7.3316890556791003</v>
      </c>
      <c r="P944" s="1401">
        <v>7.4737554689706398</v>
      </c>
      <c r="Q944" s="2192">
        <v>7.4088855380557197</v>
      </c>
      <c r="R944" s="956">
        <v>7.8051115235465103</v>
      </c>
      <c r="S944" s="945">
        <v>7.9455337238908204</v>
      </c>
      <c r="T944" s="1487">
        <v>7.7786099800712503</v>
      </c>
    </row>
    <row r="945" spans="1:20">
      <c r="A945" t="s">
        <v>2908</v>
      </c>
      <c r="B945" s="6" t="str">
        <f>HYPERLINK("http://www.ncbi.nlm.nih.gov/gene/19252", "19252")</f>
        <v>19252</v>
      </c>
      <c r="C945" s="6" t="str">
        <f>HYPERLINK("http://www.ncbi.nlm.nih.gov/gene/1843", "1843")</f>
        <v>1843</v>
      </c>
      <c r="D945" t="str">
        <f>"Dusp1"</f>
        <v>Dusp1</v>
      </c>
      <c r="E945" t="s">
        <v>2909</v>
      </c>
      <c r="F945" t="s">
        <v>2910</v>
      </c>
      <c r="G945" t="s">
        <v>2003</v>
      </c>
      <c r="H945" s="520">
        <v>6</v>
      </c>
      <c r="I945" s="452">
        <v>8.0113383832880505</v>
      </c>
      <c r="J945" s="491">
        <v>7.8126100488355403</v>
      </c>
      <c r="K945" s="265">
        <v>8.0307171690941797</v>
      </c>
      <c r="L945" s="2450">
        <v>9.20751021634754</v>
      </c>
      <c r="M945" s="844">
        <v>9.0713164518173404</v>
      </c>
      <c r="N945" s="933">
        <v>9.0451980574070294</v>
      </c>
      <c r="O945" s="847">
        <v>8.8314706302127899</v>
      </c>
      <c r="P945" s="1497">
        <v>8.8091039587512299</v>
      </c>
      <c r="Q945" s="2168">
        <v>8.6256078948616004</v>
      </c>
      <c r="R945" s="770">
        <v>8.9025691517063308</v>
      </c>
      <c r="S945" s="527">
        <v>9.0593029875428304</v>
      </c>
      <c r="T945" s="1637">
        <v>9.1617744023171905</v>
      </c>
    </row>
    <row r="946" spans="1:20">
      <c r="A946" t="s">
        <v>2911</v>
      </c>
      <c r="B946" s="6" t="str">
        <f>HYPERLINK("http://www.ncbi.nlm.nih.gov/gene/226422", "226422")</f>
        <v>226422</v>
      </c>
      <c r="C946" s="6" t="str">
        <f>HYPERLINK("http://www.ncbi.nlm.nih.gov/gene/8934", "8934")</f>
        <v>8934</v>
      </c>
      <c r="D946" t="str">
        <f>"Rab7l1"</f>
        <v>Rab7l1</v>
      </c>
      <c r="E946" t="s">
        <v>2912</v>
      </c>
      <c r="F946" t="s">
        <v>2919</v>
      </c>
      <c r="H946" s="520">
        <v>6</v>
      </c>
      <c r="I946" s="100">
        <v>5.0358694467542202</v>
      </c>
      <c r="J946" s="446">
        <v>4.61808038379323</v>
      </c>
      <c r="K946" s="232">
        <v>4.99957137866451</v>
      </c>
      <c r="L946" s="1990">
        <v>5.9664529061641502</v>
      </c>
      <c r="M946" s="848">
        <v>5.9137298700392096</v>
      </c>
      <c r="N946" s="771">
        <v>5.8351920441232199</v>
      </c>
      <c r="O946" s="1632">
        <v>5.5450530237977196</v>
      </c>
      <c r="P946" s="528">
        <v>5.4999986836189896</v>
      </c>
      <c r="Q946" s="2279">
        <v>5.5357235120533304</v>
      </c>
      <c r="R946" s="764">
        <v>5.6709426176283699</v>
      </c>
      <c r="S946" s="888">
        <v>5.8716046978251004</v>
      </c>
      <c r="T946" s="1031">
        <v>5.8557599083979497</v>
      </c>
    </row>
    <row r="947" spans="1:20">
      <c r="A947" t="s">
        <v>2920</v>
      </c>
      <c r="B947" s="6" t="str">
        <f>HYPERLINK("http://www.ncbi.nlm.nih.gov/gene/242584", "242584")</f>
        <v>242584</v>
      </c>
      <c r="C947" s="6" t="str">
        <f>HYPERLINK("http://www.ncbi.nlm.nih.gov/gene/79819", "79819")</f>
        <v>79819</v>
      </c>
      <c r="D947" t="str">
        <f>"Wdr78"</f>
        <v>Wdr78</v>
      </c>
      <c r="E947" t="s">
        <v>2921</v>
      </c>
      <c r="F947" t="s">
        <v>90</v>
      </c>
      <c r="H947" s="520">
        <v>6</v>
      </c>
      <c r="I947" s="338">
        <v>5.3353432813096804</v>
      </c>
      <c r="J947" s="432">
        <v>5.1609078790287102</v>
      </c>
      <c r="K947" s="444">
        <v>5.3170644090798298</v>
      </c>
      <c r="L947" s="2542">
        <v>6.7733705592339604</v>
      </c>
      <c r="M947" s="771">
        <v>6.7894335989305503</v>
      </c>
      <c r="N947" s="930">
        <v>6.9079952165057703</v>
      </c>
      <c r="O947" s="1377">
        <v>6.3182798728548004</v>
      </c>
      <c r="P947" s="1305">
        <v>6.5708365826027801</v>
      </c>
      <c r="Q947" s="2288">
        <v>6.7601995761553404</v>
      </c>
      <c r="R947" s="875">
        <v>6.63123391801469</v>
      </c>
      <c r="S947" s="875">
        <v>6.6356116522863102</v>
      </c>
      <c r="T947" s="1136">
        <v>6.7228419882274801</v>
      </c>
    </row>
    <row r="948" spans="1:20">
      <c r="A948" t="s">
        <v>2922</v>
      </c>
      <c r="B948" s="6" t="str">
        <f>HYPERLINK("http://www.ncbi.nlm.nih.gov/gene/78785", "78785")</f>
        <v>78785</v>
      </c>
      <c r="C948" s="6" t="str">
        <f>HYPERLINK("http://www.ncbi.nlm.nih.gov/gene/79745", "79745")</f>
        <v>79745</v>
      </c>
      <c r="D948" t="str">
        <f>"Clip4"</f>
        <v>Clip4</v>
      </c>
      <c r="E948" t="s">
        <v>2923</v>
      </c>
      <c r="F948" t="s">
        <v>90</v>
      </c>
      <c r="H948" s="520">
        <v>6</v>
      </c>
      <c r="I948" s="405">
        <v>4.8063433557007498</v>
      </c>
      <c r="J948" s="399">
        <v>4.5009093478934901</v>
      </c>
      <c r="K948" s="397">
        <v>4.3118415808459298</v>
      </c>
      <c r="L948" s="2546">
        <v>6.5063276840106798</v>
      </c>
      <c r="M948" s="931">
        <v>6.5195891369678103</v>
      </c>
      <c r="N948" s="973">
        <v>6.4421903549451196</v>
      </c>
      <c r="O948" s="1339">
        <v>5.8849730407177603</v>
      </c>
      <c r="P948" s="796">
        <v>6.0837536851066298</v>
      </c>
      <c r="Q948" s="2311">
        <v>6.2799252669294701</v>
      </c>
      <c r="R948" s="1284">
        <v>6.2156976737510403</v>
      </c>
      <c r="S948" s="1485">
        <v>6.2642159423541397</v>
      </c>
      <c r="T948" s="1491">
        <v>6.3139103882321397</v>
      </c>
    </row>
    <row r="949" spans="1:20">
      <c r="A949" t="s">
        <v>2924</v>
      </c>
      <c r="B949" s="6" t="str">
        <f>HYPERLINK("http://www.ncbi.nlm.nih.gov/gene/58178", "58178")</f>
        <v>58178</v>
      </c>
      <c r="C949" s="6" t="str">
        <f>HYPERLINK("http://www.ncbi.nlm.nih.gov/gene/114815", "114815")</f>
        <v>114815</v>
      </c>
      <c r="D949" t="str">
        <f>"Sorcs1"</f>
        <v>Sorcs1</v>
      </c>
      <c r="E949" t="s">
        <v>2925</v>
      </c>
      <c r="F949" t="s">
        <v>2118</v>
      </c>
      <c r="H949" s="520">
        <v>6</v>
      </c>
      <c r="I949" s="487">
        <v>3.5021086724391299</v>
      </c>
      <c r="J949" s="386">
        <v>3.58322107963405</v>
      </c>
      <c r="K949" s="428">
        <v>3.5378780012719799</v>
      </c>
      <c r="L949" s="2549">
        <v>4.80734217920544</v>
      </c>
      <c r="M949" s="956">
        <v>4.8064767266449602</v>
      </c>
      <c r="N949" s="1504">
        <v>5.0313361110106101</v>
      </c>
      <c r="O949" s="1266">
        <v>4.6411653548113598</v>
      </c>
      <c r="P949" s="901">
        <v>4.79331734809689</v>
      </c>
      <c r="Q949" s="2224">
        <v>4.7578530296474097</v>
      </c>
      <c r="R949" s="764">
        <v>4.6805799859322397</v>
      </c>
      <c r="S949" s="882">
        <v>4.7852717344745299</v>
      </c>
      <c r="T949" s="1472">
        <v>4.94288607112692</v>
      </c>
    </row>
    <row r="950" spans="1:20">
      <c r="A950" t="s">
        <v>2926</v>
      </c>
      <c r="B950" s="6" t="str">
        <f>HYPERLINK("http://www.ncbi.nlm.nih.gov/gene/18546", "18546")</f>
        <v>18546</v>
      </c>
      <c r="C950" s="6" t="str">
        <f>HYPERLINK("http://www.ncbi.nlm.nih.gov/gene/5121", "5121")</f>
        <v>5121</v>
      </c>
      <c r="D950" t="str">
        <f>"Pcp4"</f>
        <v>Pcp4</v>
      </c>
      <c r="E950" t="s">
        <v>2927</v>
      </c>
      <c r="F950" t="s">
        <v>2928</v>
      </c>
      <c r="H950" s="520">
        <v>6</v>
      </c>
      <c r="I950" s="485">
        <v>6.0644369708993002</v>
      </c>
      <c r="J950" s="440">
        <v>6.2434214899626399</v>
      </c>
      <c r="K950" s="512">
        <v>6.0931378580695696</v>
      </c>
      <c r="L950" s="2531">
        <v>9.0180960220275104</v>
      </c>
      <c r="M950" s="923">
        <v>9.1419066138459897</v>
      </c>
      <c r="N950" s="927">
        <v>9.2254565328068008</v>
      </c>
      <c r="O950" s="949">
        <v>8.5749669745432406</v>
      </c>
      <c r="P950" s="763">
        <v>8.5577612298949894</v>
      </c>
      <c r="Q950" s="2308">
        <v>8.6531273567931706</v>
      </c>
      <c r="R950" s="827">
        <v>8.6364510424874901</v>
      </c>
      <c r="S950" s="845">
        <v>8.4038219419704205</v>
      </c>
      <c r="T950" s="1621">
        <v>8.7211639499578304</v>
      </c>
    </row>
    <row r="951" spans="1:20">
      <c r="A951" t="s">
        <v>2929</v>
      </c>
      <c r="B951" s="6" t="str">
        <f>HYPERLINK("http://www.ncbi.nlm.nih.gov/gene/12816", "12816")</f>
        <v>12816</v>
      </c>
      <c r="C951" s="6" t="str">
        <f>HYPERLINK("http://www.ncbi.nlm.nih.gov/gene/1303", "1303")</f>
        <v>1303</v>
      </c>
      <c r="D951" t="str">
        <f>"Col12a1"</f>
        <v>Col12a1</v>
      </c>
      <c r="E951" t="s">
        <v>2930</v>
      </c>
      <c r="F951" t="s">
        <v>2931</v>
      </c>
      <c r="G951" t="s">
        <v>563</v>
      </c>
      <c r="H951" s="520">
        <v>6</v>
      </c>
      <c r="I951" s="429">
        <v>5.4171735092711897</v>
      </c>
      <c r="J951" s="400">
        <v>5.2153738485699996</v>
      </c>
      <c r="K951" s="386">
        <v>5.3559517750609702</v>
      </c>
      <c r="L951" s="2416">
        <v>7.4766456699032302</v>
      </c>
      <c r="M951" s="926">
        <v>7.45753814597089</v>
      </c>
      <c r="N951" s="1170">
        <v>7.5966858565289499</v>
      </c>
      <c r="O951" s="1127">
        <v>6.8656646386432802</v>
      </c>
      <c r="P951" s="816">
        <v>7.0767706259248797</v>
      </c>
      <c r="Q951" s="1978">
        <v>7.1207867992514498</v>
      </c>
      <c r="R951" s="937">
        <v>7.2110542588809903</v>
      </c>
      <c r="S951" s="800">
        <v>6.9085159879439599</v>
      </c>
      <c r="T951" s="1539">
        <v>6.81780347716896</v>
      </c>
    </row>
    <row r="952" spans="1:20">
      <c r="A952" t="s">
        <v>2932</v>
      </c>
      <c r="B952" s="6" t="str">
        <f>HYPERLINK("http://www.ncbi.nlm.nih.gov/gene/239405", "239405")</f>
        <v>239405</v>
      </c>
      <c r="C952" s="6" t="str">
        <f>HYPERLINK("http://www.ncbi.nlm.nih.gov/gene/340419", "340419")</f>
        <v>340419</v>
      </c>
      <c r="D952" t="str">
        <f>"Rspo2"</f>
        <v>Rspo2</v>
      </c>
      <c r="E952" t="s">
        <v>2933</v>
      </c>
      <c r="F952" t="s">
        <v>2934</v>
      </c>
      <c r="H952" s="520">
        <v>6</v>
      </c>
      <c r="I952" s="452">
        <v>4.3669345707675999</v>
      </c>
      <c r="J952" s="473">
        <v>4.3712500057556198</v>
      </c>
      <c r="K952" s="513">
        <v>4.0053000868736799</v>
      </c>
      <c r="L952" s="2438">
        <v>6.5046631593405699</v>
      </c>
      <c r="M952" s="1615">
        <v>6.1839437304723397</v>
      </c>
      <c r="N952" s="1135">
        <v>6.61867625542091</v>
      </c>
      <c r="O952" s="1309">
        <v>5.9273658846195802</v>
      </c>
      <c r="P952" s="955">
        <v>5.9445801485341896</v>
      </c>
      <c r="Q952" s="2393">
        <v>5.8148952473487503</v>
      </c>
      <c r="R952" s="838">
        <v>5.74848600851168</v>
      </c>
      <c r="S952" s="939">
        <v>5.8293929570381797</v>
      </c>
      <c r="T952" s="1513">
        <v>5.7889640259314499</v>
      </c>
    </row>
    <row r="953" spans="1:20">
      <c r="A953" t="s">
        <v>2935</v>
      </c>
      <c r="B953" s="6" t="str">
        <f>HYPERLINK("http://www.ncbi.nlm.nih.gov/gene/67792", "67792")</f>
        <v>67792</v>
      </c>
      <c r="C953" s="6" t="str">
        <f>HYPERLINK("http://www.ncbi.nlm.nih.gov/gene/85397", "85397")</f>
        <v>85397</v>
      </c>
      <c r="D953" t="str">
        <f>"Rgs8"</f>
        <v>Rgs8</v>
      </c>
      <c r="E953" t="s">
        <v>2936</v>
      </c>
      <c r="F953" t="s">
        <v>2938</v>
      </c>
      <c r="H953" s="520">
        <v>6</v>
      </c>
      <c r="I953" s="221">
        <v>3.9348997392344698</v>
      </c>
      <c r="J953" s="490">
        <v>3.3666476495423301</v>
      </c>
      <c r="K953" s="382">
        <v>3.40587854275894</v>
      </c>
      <c r="L953" s="2550">
        <v>5.0418700505916796</v>
      </c>
      <c r="M953" s="927">
        <v>5.1040510464879096</v>
      </c>
      <c r="N953" s="559">
        <v>5.3096735102044299</v>
      </c>
      <c r="O953" s="1239">
        <v>4.5263833742826698</v>
      </c>
      <c r="P953" s="956">
        <v>4.8687499852817604</v>
      </c>
      <c r="Q953" s="2022">
        <v>4.7421097291995098</v>
      </c>
      <c r="R953" s="746">
        <v>4.5129599739339596</v>
      </c>
      <c r="S953" s="1126">
        <v>4.7038831673246504</v>
      </c>
      <c r="T953" s="808">
        <v>4.7681186793254398</v>
      </c>
    </row>
    <row r="954" spans="1:20">
      <c r="A954" t="s">
        <v>2939</v>
      </c>
      <c r="B954" s="6" t="str">
        <f>HYPERLINK("http://www.ncbi.nlm.nih.gov/gene/12759", "12759")</f>
        <v>12759</v>
      </c>
      <c r="C954" s="6" t="str">
        <f>HYPERLINK("http://www.ncbi.nlm.nih.gov/gene/1191", "1191")</f>
        <v>1191</v>
      </c>
      <c r="D954" t="str">
        <f>"Clu"</f>
        <v>Clu</v>
      </c>
      <c r="E954" t="s">
        <v>2940</v>
      </c>
      <c r="F954" t="s">
        <v>2941</v>
      </c>
      <c r="H954" s="520">
        <v>6</v>
      </c>
      <c r="I954" s="285">
        <v>6.7671689643767703</v>
      </c>
      <c r="J954" s="436">
        <v>6.6424218230046899</v>
      </c>
      <c r="K954" s="491">
        <v>6.47445375505814</v>
      </c>
      <c r="L954" s="2515">
        <v>8.2599145504464904</v>
      </c>
      <c r="M954" s="881">
        <v>8.0822439905792294</v>
      </c>
      <c r="N954" s="1284">
        <v>7.8231409806719396</v>
      </c>
      <c r="O954" s="1638">
        <v>7.8970089308122704</v>
      </c>
      <c r="P954" s="955">
        <v>7.7958254787053196</v>
      </c>
      <c r="Q954" s="2211">
        <v>7.7288298784139</v>
      </c>
      <c r="R954" s="1100">
        <v>7.5968604726997597</v>
      </c>
      <c r="S954" s="875">
        <v>7.8258600950686503</v>
      </c>
      <c r="T954" s="1500">
        <v>7.7383697864274099</v>
      </c>
    </row>
    <row r="955" spans="1:20">
      <c r="A955" t="s">
        <v>2942</v>
      </c>
      <c r="B955" s="6" t="str">
        <f>HYPERLINK("http://www.ncbi.nlm.nih.gov/gene/100504262", "100504262")</f>
        <v>100504262</v>
      </c>
      <c r="C955" s="6" t="str">
        <f>HYPERLINK("http://www.ncbi.nlm.nih.gov/gene/", "")</f>
        <v/>
      </c>
      <c r="D955" t="str">
        <f>"A730020E08Rik"</f>
        <v>A730020E08Rik</v>
      </c>
      <c r="E955" t="s">
        <v>2962</v>
      </c>
      <c r="F955" t="s">
        <v>90</v>
      </c>
      <c r="H955" s="520">
        <v>6</v>
      </c>
      <c r="I955" s="439">
        <v>2.9687088340910202</v>
      </c>
      <c r="J955" s="446">
        <v>2.3733051458182</v>
      </c>
      <c r="K955" s="130">
        <v>3.6194722104808101</v>
      </c>
      <c r="L955" s="2547">
        <v>4.879058113498</v>
      </c>
      <c r="M955" s="527">
        <v>5.1040463980082498</v>
      </c>
      <c r="N955" s="926">
        <v>5.2480558245627504</v>
      </c>
      <c r="O955" s="1425">
        <v>4.7928117435711597</v>
      </c>
      <c r="P955" s="845">
        <v>4.6706029594715703</v>
      </c>
      <c r="Q955" s="2551">
        <v>5.0230202487720996</v>
      </c>
      <c r="R955" s="1532">
        <v>4.7453069604404696</v>
      </c>
      <c r="S955" s="1414">
        <v>4.98778000530376</v>
      </c>
      <c r="T955" s="1480">
        <v>4.9677990950168596</v>
      </c>
    </row>
    <row r="956" spans="1:20">
      <c r="A956" t="s">
        <v>2963</v>
      </c>
      <c r="B956" s="6" t="str">
        <f>HYPERLINK("http://www.ncbi.nlm.nih.gov/gene/69478", "69478")</f>
        <v>69478</v>
      </c>
      <c r="C956" s="6" t="str">
        <f>HYPERLINK("http://www.ncbi.nlm.nih.gov/gene/145853", "145853")</f>
        <v>145853</v>
      </c>
      <c r="D956" t="str">
        <f>"2300009A05Rik"</f>
        <v>2300009A05Rik</v>
      </c>
      <c r="E956" t="s">
        <v>2964</v>
      </c>
      <c r="F956" t="s">
        <v>691</v>
      </c>
      <c r="H956" s="520">
        <v>6</v>
      </c>
      <c r="I956" s="455">
        <v>5.3802938271551701</v>
      </c>
      <c r="J956" s="446">
        <v>4.9656620080381204</v>
      </c>
      <c r="K956" s="135">
        <v>5.55264594323405</v>
      </c>
      <c r="L956" s="2552">
        <v>6.25122804162371</v>
      </c>
      <c r="M956" s="548">
        <v>6.4922607551659697</v>
      </c>
      <c r="N956" s="862">
        <v>6.2981794059795497</v>
      </c>
      <c r="O956" s="1300">
        <v>6.1447728652037297</v>
      </c>
      <c r="P956" s="806">
        <v>6.2115753424734397</v>
      </c>
      <c r="Q956" s="2344">
        <v>6.3647865966784796</v>
      </c>
      <c r="R956" s="1207">
        <v>5.9887049300900497</v>
      </c>
      <c r="S956" s="937">
        <v>6.2683922586084702</v>
      </c>
      <c r="T956" s="1450">
        <v>6.1311141380764003</v>
      </c>
    </row>
    <row r="957" spans="1:20">
      <c r="A957" t="s">
        <v>2965</v>
      </c>
      <c r="B957" s="6" t="str">
        <f>HYPERLINK("http://www.ncbi.nlm.nih.gov/gene/19227", "19227")</f>
        <v>19227</v>
      </c>
      <c r="C957" s="6" t="str">
        <f>HYPERLINK("http://www.ncbi.nlm.nih.gov/gene/5744", "5744")</f>
        <v>5744</v>
      </c>
      <c r="D957" t="str">
        <f>"Pthlh"</f>
        <v>Pthlh</v>
      </c>
      <c r="E957" t="s">
        <v>2966</v>
      </c>
      <c r="F957" t="s">
        <v>2943</v>
      </c>
      <c r="H957" s="520">
        <v>6</v>
      </c>
      <c r="I957" s="509">
        <v>4.7742008843937898</v>
      </c>
      <c r="J957" s="122">
        <v>5.1276249164596504</v>
      </c>
      <c r="K957" s="42">
        <v>5.55992646943566</v>
      </c>
      <c r="L957" s="1838">
        <v>5.5568009323366603</v>
      </c>
      <c r="M957" s="770">
        <v>5.8913004700947402</v>
      </c>
      <c r="N957" s="1305">
        <v>5.8855844699177897</v>
      </c>
      <c r="O957" s="996">
        <v>5.4598287582794702</v>
      </c>
      <c r="P957" s="715">
        <v>5.3545306645332804</v>
      </c>
      <c r="Q957" s="2073">
        <v>5.3807273410583401</v>
      </c>
      <c r="R957" s="707">
        <v>6.4751647914947101</v>
      </c>
      <c r="S957" s="1071">
        <v>6.3503946050106403</v>
      </c>
      <c r="T957" s="1165">
        <v>6.4171728487992699</v>
      </c>
    </row>
    <row r="958" spans="1:20">
      <c r="A958" t="s">
        <v>2944</v>
      </c>
      <c r="B958" s="6" t="str">
        <f>HYPERLINK("http://www.ncbi.nlm.nih.gov/gene/14167", "14167")</f>
        <v>14167</v>
      </c>
      <c r="C958" s="6" t="str">
        <f>HYPERLINK("http://www.ncbi.nlm.nih.gov/gene/2257", "2257")</f>
        <v>2257</v>
      </c>
      <c r="D958" t="str">
        <f>"Fgf12"</f>
        <v>Fgf12</v>
      </c>
      <c r="E958" t="s">
        <v>2945</v>
      </c>
      <c r="F958" t="s">
        <v>2946</v>
      </c>
      <c r="G958" t="s">
        <v>521</v>
      </c>
      <c r="H958" s="520">
        <v>6</v>
      </c>
      <c r="I958" s="361">
        <v>3.4281803546939602</v>
      </c>
      <c r="J958" s="221">
        <v>3.6523405069545198</v>
      </c>
      <c r="K958" s="58">
        <v>3.81299847699285</v>
      </c>
      <c r="L958" s="2028">
        <v>4.1768244704875901</v>
      </c>
      <c r="M958" s="916">
        <v>4.3839766372203401</v>
      </c>
      <c r="N958" s="763">
        <v>4.47081862111229</v>
      </c>
      <c r="O958" s="1005">
        <v>3.7036203799418099</v>
      </c>
      <c r="P958" s="743">
        <v>4.1654620027170699</v>
      </c>
      <c r="Q958" s="2142">
        <v>3.6570486739427399</v>
      </c>
      <c r="R958" s="815">
        <v>5.34181221218617</v>
      </c>
      <c r="S958" s="745">
        <v>5.1605420960511896</v>
      </c>
      <c r="T958" s="977">
        <v>4.9324709575327201</v>
      </c>
    </row>
    <row r="959" spans="1:20">
      <c r="A959" t="s">
        <v>2947</v>
      </c>
      <c r="B959" s="6" t="str">
        <f>HYPERLINK("http://www.ncbi.nlm.nih.gov/gene/67252", "67252")</f>
        <v>67252</v>
      </c>
      <c r="C959" s="6" t="str">
        <f>HYPERLINK("http://www.ncbi.nlm.nih.gov/gene/10486", "10486")</f>
        <v>10486</v>
      </c>
      <c r="D959" t="str">
        <f>"Cap2"</f>
        <v>Cap2</v>
      </c>
      <c r="E959" t="s">
        <v>2948</v>
      </c>
      <c r="F959" t="s">
        <v>2949</v>
      </c>
      <c r="H959" s="520">
        <v>6</v>
      </c>
      <c r="I959" s="321">
        <v>4.8712605688520201</v>
      </c>
      <c r="J959" s="350">
        <v>4.82609148181204</v>
      </c>
      <c r="K959" s="122">
        <v>4.8501657437666204</v>
      </c>
      <c r="L959" s="2023">
        <v>5.6085705365015697</v>
      </c>
      <c r="M959" s="1228">
        <v>5.3065789438833102</v>
      </c>
      <c r="N959" s="1484">
        <v>5.7376132252688699</v>
      </c>
      <c r="O959" s="1200">
        <v>5.0540065110882404</v>
      </c>
      <c r="P959" s="892">
        <v>5.1935474433394599</v>
      </c>
      <c r="Q959" s="2074">
        <v>4.9495137485460399</v>
      </c>
      <c r="R959" s="634">
        <v>5.9206405733574297</v>
      </c>
      <c r="S959" s="586">
        <v>6.1641068444612497</v>
      </c>
      <c r="T959" s="1098">
        <v>6.1354239174322904</v>
      </c>
    </row>
    <row r="960" spans="1:20">
      <c r="A960" t="s">
        <v>2976</v>
      </c>
      <c r="B960" s="6" t="str">
        <f>HYPERLINK("http://www.ncbi.nlm.nih.gov/gene/74342", "74342")</f>
        <v>74342</v>
      </c>
      <c r="C960" s="6" t="str">
        <f>HYPERLINK("http://www.ncbi.nlm.nih.gov/gene/347730", "347730")</f>
        <v>347730</v>
      </c>
      <c r="D960" t="str">
        <f>"Lrrtm1"</f>
        <v>Lrrtm1</v>
      </c>
      <c r="E960" t="s">
        <v>2977</v>
      </c>
      <c r="F960" t="s">
        <v>2978</v>
      </c>
      <c r="H960" s="520">
        <v>6</v>
      </c>
      <c r="I960" s="199">
        <v>4.6893690476058003</v>
      </c>
      <c r="J960" s="164">
        <v>4.26330926566723</v>
      </c>
      <c r="K960" s="233">
        <v>4.5142781530056002</v>
      </c>
      <c r="L960" s="2177">
        <v>6.1792525064039303</v>
      </c>
      <c r="M960" s="956">
        <v>6.5760861703027498</v>
      </c>
      <c r="N960" s="1485">
        <v>6.5388751373005602</v>
      </c>
      <c r="O960" s="1005">
        <v>4.66954253760772</v>
      </c>
      <c r="P960" s="1109">
        <v>4.7121745349664002</v>
      </c>
      <c r="Q960" s="2327">
        <v>4.7734473109376703</v>
      </c>
      <c r="R960" s="858">
        <v>7.3714631964116997</v>
      </c>
      <c r="S960" s="657">
        <v>7.7909498816947398</v>
      </c>
      <c r="T960" s="995">
        <v>7.8786216779243103</v>
      </c>
    </row>
    <row r="961" spans="1:20">
      <c r="A961" t="s">
        <v>2979</v>
      </c>
      <c r="B961" s="6" t="str">
        <f>HYPERLINK("http://www.ncbi.nlm.nih.gov/gene/225724", "225724")</f>
        <v>225724</v>
      </c>
      <c r="C961" s="6" t="str">
        <f>HYPERLINK("http://www.ncbi.nlm.nih.gov/gene/5596", "5596")</f>
        <v>5596</v>
      </c>
      <c r="D961" t="str">
        <f>"Mapk4"</f>
        <v>Mapk4</v>
      </c>
      <c r="E961" t="s">
        <v>2980</v>
      </c>
      <c r="F961" t="s">
        <v>2950</v>
      </c>
      <c r="H961" s="520">
        <v>6</v>
      </c>
      <c r="I961" s="248">
        <v>3.8731431742298699</v>
      </c>
      <c r="J961" s="84">
        <v>3.6545678195163802</v>
      </c>
      <c r="K961" s="225">
        <v>3.6261177897539101</v>
      </c>
      <c r="L961" s="2553">
        <v>5.4469261466374403</v>
      </c>
      <c r="M961" s="916">
        <v>5.3719710878065197</v>
      </c>
      <c r="N961" s="875">
        <v>5.7276153326733503</v>
      </c>
      <c r="O961" s="1202">
        <v>4.0001354947554599</v>
      </c>
      <c r="P961" s="592">
        <v>4.4200837617016697</v>
      </c>
      <c r="Q961" s="2427">
        <v>3.98831541608233</v>
      </c>
      <c r="R961" s="686">
        <v>7.1211060599978504</v>
      </c>
      <c r="S961" s="761">
        <v>6.8564529475130804</v>
      </c>
      <c r="T961" s="1111">
        <v>6.95027992016393</v>
      </c>
    </row>
    <row r="962" spans="1:20">
      <c r="A962" t="s">
        <v>2951</v>
      </c>
      <c r="B962" s="6" t="str">
        <f>HYPERLINK("http://www.ncbi.nlm.nih.gov/gene/21983", "21983")</f>
        <v>21983</v>
      </c>
      <c r="C962" s="6" t="str">
        <f>HYPERLINK("http://www.ncbi.nlm.nih.gov/gene/7162", "7162")</f>
        <v>7162</v>
      </c>
      <c r="D962" t="str">
        <f>"Tpbg"</f>
        <v>Tpbg</v>
      </c>
      <c r="E962" t="s">
        <v>2952</v>
      </c>
      <c r="F962" t="s">
        <v>2953</v>
      </c>
      <c r="H962" s="520">
        <v>6</v>
      </c>
      <c r="I962" s="157">
        <v>5.6256322670036401</v>
      </c>
      <c r="J962" s="321">
        <v>5.68631417114399</v>
      </c>
      <c r="K962" s="122">
        <v>5.6395017407683001</v>
      </c>
      <c r="L962" s="2554">
        <v>7.0742413885878799</v>
      </c>
      <c r="M962" s="816">
        <v>7.1074174024796504</v>
      </c>
      <c r="N962" s="875">
        <v>7.16300356863389</v>
      </c>
      <c r="O962" s="1202">
        <v>5.8883624981950797</v>
      </c>
      <c r="P962" s="583">
        <v>6.14077555807423</v>
      </c>
      <c r="Q962" s="2555">
        <v>5.8603933538742696</v>
      </c>
      <c r="R962" s="558">
        <v>8.0434888167585399</v>
      </c>
      <c r="S962" s="756">
        <v>8.0335672340705795</v>
      </c>
      <c r="T962" s="990">
        <v>8.0255353022063503</v>
      </c>
    </row>
    <row r="963" spans="1:20">
      <c r="A963" t="s">
        <v>2954</v>
      </c>
      <c r="B963" s="6" t="str">
        <f>HYPERLINK("http://www.ncbi.nlm.nih.gov/gene/14007", "14007")</f>
        <v>14007</v>
      </c>
      <c r="C963" s="6" t="str">
        <f>HYPERLINK("http://www.ncbi.nlm.nih.gov/gene/10659", "10659")</f>
        <v>10659</v>
      </c>
      <c r="D963" t="str">
        <f>"Celf2"</f>
        <v>Celf2</v>
      </c>
      <c r="E963" t="s">
        <v>2955</v>
      </c>
      <c r="F963" t="s">
        <v>2956</v>
      </c>
      <c r="H963" s="520">
        <v>6</v>
      </c>
      <c r="I963" s="237">
        <v>5.8595828971116202</v>
      </c>
      <c r="J963" s="232">
        <v>5.5535963168798901</v>
      </c>
      <c r="K963" s="175">
        <v>5.5999102551203803</v>
      </c>
      <c r="L963" s="2186">
        <v>7.2021998108951504</v>
      </c>
      <c r="M963" s="955">
        <v>7.1173134934714097</v>
      </c>
      <c r="N963" s="1615">
        <v>7.3755132899733296</v>
      </c>
      <c r="O963" s="1600">
        <v>6.0577169421941699</v>
      </c>
      <c r="P963" s="641">
        <v>6.0063282058378702</v>
      </c>
      <c r="Q963" s="2221">
        <v>6.1187456527420903</v>
      </c>
      <c r="R963" s="1157">
        <v>7.9213439747719603</v>
      </c>
      <c r="S963" s="631">
        <v>8.0076761201418503</v>
      </c>
      <c r="T963" s="1201">
        <v>7.8931343251091102</v>
      </c>
    </row>
    <row r="964" spans="1:20">
      <c r="A964" t="s">
        <v>2957</v>
      </c>
      <c r="B964" s="6" t="str">
        <f>HYPERLINK("http://www.ncbi.nlm.nih.gov/gene/54608", "54608")</f>
        <v>54608</v>
      </c>
      <c r="C964" s="6" t="str">
        <f>HYPERLINK("http://www.ncbi.nlm.nih.gov/gene/11057", "11057")</f>
        <v>11057</v>
      </c>
      <c r="D964" t="str">
        <f>"Abhd2"</f>
        <v>Abhd2</v>
      </c>
      <c r="E964" t="s">
        <v>2958</v>
      </c>
      <c r="F964" t="s">
        <v>2959</v>
      </c>
      <c r="H964" s="520">
        <v>6</v>
      </c>
      <c r="I964" s="23">
        <v>6.6233691247364304</v>
      </c>
      <c r="J964" s="510">
        <v>5.7840750587251604</v>
      </c>
      <c r="K964" s="321">
        <v>6.3659967126241703</v>
      </c>
      <c r="L964" s="2556">
        <v>8.1397366712629005</v>
      </c>
      <c r="M964" s="824">
        <v>8.1172465960915403</v>
      </c>
      <c r="N964" s="961">
        <v>8.3817128482694105</v>
      </c>
      <c r="O964" s="1080">
        <v>6.7805783170209102</v>
      </c>
      <c r="P964" s="572">
        <v>6.8454313981322699</v>
      </c>
      <c r="Q964" s="2484">
        <v>6.7433246227683901</v>
      </c>
      <c r="R964" s="558">
        <v>9.3458949909794207</v>
      </c>
      <c r="S964" s="1496">
        <v>9.2982177611296297</v>
      </c>
      <c r="T964" s="1092">
        <v>9.2111430556133502</v>
      </c>
    </row>
    <row r="965" spans="1:20">
      <c r="A965" t="s">
        <v>2960</v>
      </c>
      <c r="B965" s="6" t="str">
        <f>HYPERLINK("http://www.ncbi.nlm.nih.gov/gene/54384", "54384")</f>
        <v>54384</v>
      </c>
      <c r="C965" s="6" t="str">
        <f>HYPERLINK("http://www.ncbi.nlm.nih.gov/gene/9108", "9108")</f>
        <v>9108</v>
      </c>
      <c r="D965" t="str">
        <f>"Mtmr7"</f>
        <v>Mtmr7</v>
      </c>
      <c r="E965" t="s">
        <v>2961</v>
      </c>
      <c r="F965" t="s">
        <v>2991</v>
      </c>
      <c r="G965" t="s">
        <v>2992</v>
      </c>
      <c r="H965" s="520">
        <v>6</v>
      </c>
      <c r="I965" s="164">
        <v>2.8499698187952101</v>
      </c>
      <c r="J965" s="288">
        <v>2.7508817185690799</v>
      </c>
      <c r="K965" s="270">
        <v>2.8626923061304899</v>
      </c>
      <c r="L965" s="2557">
        <v>5.3432288153927701</v>
      </c>
      <c r="M965" s="806">
        <v>5.3490460003895599</v>
      </c>
      <c r="N965" s="901">
        <v>5.4555007883337696</v>
      </c>
      <c r="O965" s="1012">
        <v>3.6087126734504298</v>
      </c>
      <c r="P965" s="662">
        <v>3.7126359600268</v>
      </c>
      <c r="Q965" s="2071">
        <v>3.7060264218726302</v>
      </c>
      <c r="R965" s="737">
        <v>6.49945358091282</v>
      </c>
      <c r="S965" s="698">
        <v>6.8489913389593902</v>
      </c>
      <c r="T965" s="1212">
        <v>6.7005920021527796</v>
      </c>
    </row>
    <row r="966" spans="1:20">
      <c r="A966" t="s">
        <v>2993</v>
      </c>
      <c r="B966" s="6" t="str">
        <f>HYPERLINK("http://www.ncbi.nlm.nih.gov/gene/234214", "234214")</f>
        <v>234214</v>
      </c>
      <c r="C966" s="6" t="str">
        <f>HYPERLINK("http://www.ncbi.nlm.nih.gov/gene/8470", "8470")</f>
        <v>8470</v>
      </c>
      <c r="D966" t="str">
        <f>"Sorbs2"</f>
        <v>Sorbs2</v>
      </c>
      <c r="E966" t="s">
        <v>2994</v>
      </c>
      <c r="F966" t="s">
        <v>2967</v>
      </c>
      <c r="H966" s="520">
        <v>6</v>
      </c>
      <c r="I966" s="122">
        <v>6.5257874472439799</v>
      </c>
      <c r="J966" s="288">
        <v>6.3370609780639704</v>
      </c>
      <c r="K966" s="361">
        <v>6.24856047288021</v>
      </c>
      <c r="L966" s="2558">
        <v>8.2262622798796396</v>
      </c>
      <c r="M966" s="806">
        <v>8.3503745032072896</v>
      </c>
      <c r="N966" s="956">
        <v>8.4583656932736595</v>
      </c>
      <c r="O966" s="1051">
        <v>7.1101146256285901</v>
      </c>
      <c r="P966" s="734">
        <v>7.0081600634643504</v>
      </c>
      <c r="Q966" s="2149">
        <v>7.17867273605553</v>
      </c>
      <c r="R966" s="1157">
        <v>9.3250502411902705</v>
      </c>
      <c r="S966" s="558">
        <v>9.4614516457403095</v>
      </c>
      <c r="T966" s="1253">
        <v>9.3796480393652892</v>
      </c>
    </row>
    <row r="967" spans="1:20">
      <c r="A967" t="s">
        <v>2968</v>
      </c>
      <c r="B967" s="6" t="str">
        <f>HYPERLINK("http://www.ncbi.nlm.nih.gov/gene/23859", "23859")</f>
        <v>23859</v>
      </c>
      <c r="C967" s="6" t="str">
        <f>HYPERLINK("http://www.ncbi.nlm.nih.gov/gene/1740", "1740")</f>
        <v>1740</v>
      </c>
      <c r="D967" t="str">
        <f>"Dlg2"</f>
        <v>Dlg2</v>
      </c>
      <c r="E967" t="s">
        <v>2969</v>
      </c>
      <c r="F967" t="s">
        <v>2970</v>
      </c>
      <c r="H967" s="520">
        <v>6</v>
      </c>
      <c r="I967" s="100">
        <v>3.8160594461045299</v>
      </c>
      <c r="J967" s="270">
        <v>3.8275899474116999</v>
      </c>
      <c r="K967" s="253">
        <v>3.7930456440949101</v>
      </c>
      <c r="L967" s="2559">
        <v>4.7614628333143099</v>
      </c>
      <c r="M967" s="955">
        <v>4.8096805690244597</v>
      </c>
      <c r="N967" s="956">
        <v>4.89490806343054</v>
      </c>
      <c r="O967" s="1043">
        <v>4.1804196515064698</v>
      </c>
      <c r="P967" s="619">
        <v>4.0950448584199997</v>
      </c>
      <c r="Q967" s="2149">
        <v>4.2210610597244704</v>
      </c>
      <c r="R967" s="657">
        <v>5.45627203640207</v>
      </c>
      <c r="S967" s="1132">
        <v>5.3818058169004601</v>
      </c>
      <c r="T967" s="1158">
        <v>5.3512562676121602</v>
      </c>
    </row>
    <row r="968" spans="1:20">
      <c r="A968" t="s">
        <v>2971</v>
      </c>
      <c r="B968" s="6" t="str">
        <f>HYPERLINK("http://www.ncbi.nlm.nih.gov/gene/237504", "237504")</f>
        <v>237504</v>
      </c>
      <c r="C968" s="6" t="str">
        <f>HYPERLINK("http://www.ncbi.nlm.nih.gov/gene/9182", "9182")</f>
        <v>9182</v>
      </c>
      <c r="D968" t="str">
        <f>"Rassf9"</f>
        <v>Rassf9</v>
      </c>
      <c r="E968" t="s">
        <v>2972</v>
      </c>
      <c r="F968" t="s">
        <v>2973</v>
      </c>
      <c r="H968" s="520">
        <v>6</v>
      </c>
      <c r="I968" s="288">
        <v>2.6074664878014699</v>
      </c>
      <c r="J968" s="270">
        <v>2.6841088867613498</v>
      </c>
      <c r="K968" s="389">
        <v>2.6584823504721502</v>
      </c>
      <c r="L968" s="2190">
        <v>4.0700460944088404</v>
      </c>
      <c r="M968" s="916">
        <v>4.1217987821770299</v>
      </c>
      <c r="N968" s="764">
        <v>4.2410956663580004</v>
      </c>
      <c r="O968" s="991">
        <v>3.06237605675057</v>
      </c>
      <c r="P968" s="687">
        <v>3.5598034571750401</v>
      </c>
      <c r="Q968" s="2170">
        <v>3.5602825672096099</v>
      </c>
      <c r="R968" s="904">
        <v>5.0710187070605297</v>
      </c>
      <c r="S968" s="602">
        <v>5.6574234588538399</v>
      </c>
      <c r="T968" s="1261">
        <v>5.4093731334400603</v>
      </c>
    </row>
    <row r="969" spans="1:20">
      <c r="A969" t="s">
        <v>2974</v>
      </c>
      <c r="B969" s="6" t="str">
        <f>HYPERLINK("http://www.ncbi.nlm.nih.gov/gene/140492", "140492")</f>
        <v>140492</v>
      </c>
      <c r="C969" s="6" t="str">
        <f>HYPERLINK("http://www.ncbi.nlm.nih.gov/gene/", "")</f>
        <v/>
      </c>
      <c r="D969" t="str">
        <f>"Kcnn2"</f>
        <v>Kcnn2</v>
      </c>
      <c r="E969" t="s">
        <v>2975</v>
      </c>
      <c r="F969" t="s">
        <v>2999</v>
      </c>
      <c r="G969" t="s">
        <v>2463</v>
      </c>
      <c r="H969" s="520">
        <v>6</v>
      </c>
      <c r="I969" s="257">
        <v>2.7386204528093301</v>
      </c>
      <c r="J969" s="312">
        <v>3.0280860384835999</v>
      </c>
      <c r="K969" s="122">
        <v>2.9541583515055998</v>
      </c>
      <c r="L969" s="2560">
        <v>4.4733384688934503</v>
      </c>
      <c r="M969" s="833">
        <v>4.4841001458958001</v>
      </c>
      <c r="N969" s="845">
        <v>4.7943665080984701</v>
      </c>
      <c r="O969" s="1024">
        <v>3.36794667870624</v>
      </c>
      <c r="P969" s="1272">
        <v>3.79312334622275</v>
      </c>
      <c r="Q969" s="2254">
        <v>4.1170745335397498</v>
      </c>
      <c r="R969" s="648">
        <v>6.5217820479833</v>
      </c>
      <c r="S969" s="586">
        <v>6.6541729389986601</v>
      </c>
      <c r="T969" s="1195">
        <v>6.5335119107857897</v>
      </c>
    </row>
    <row r="970" spans="1:20">
      <c r="A970" t="s">
        <v>3000</v>
      </c>
      <c r="B970" s="6" t="str">
        <f>HYPERLINK("http://www.ncbi.nlm.nih.gov/gene/14571", "14571")</f>
        <v>14571</v>
      </c>
      <c r="C970" s="6" t="str">
        <f>HYPERLINK("http://www.ncbi.nlm.nih.gov/gene/2820", "2820")</f>
        <v>2820</v>
      </c>
      <c r="D970" t="str">
        <f>"Gpd2"</f>
        <v>Gpd2</v>
      </c>
      <c r="E970" t="s">
        <v>3001</v>
      </c>
      <c r="F970" t="s">
        <v>2981</v>
      </c>
      <c r="G970" t="s">
        <v>2982</v>
      </c>
      <c r="H970" s="520">
        <v>6</v>
      </c>
      <c r="I970" s="130">
        <v>5.35262212595741</v>
      </c>
      <c r="J970" s="337">
        <v>5.0539394946101801</v>
      </c>
      <c r="K970" s="164">
        <v>5.2076684350424696</v>
      </c>
      <c r="L970" s="2019">
        <v>5.8624685168936299</v>
      </c>
      <c r="M970" s="796">
        <v>6.0469805295797903</v>
      </c>
      <c r="N970" s="770">
        <v>6.1042707713906204</v>
      </c>
      <c r="O970" s="1093">
        <v>5.6826571588272197</v>
      </c>
      <c r="P970" s="579">
        <v>5.57903742856778</v>
      </c>
      <c r="Q970" s="2071">
        <v>5.5246304184679804</v>
      </c>
      <c r="R970" s="698">
        <v>6.7000566097104697</v>
      </c>
      <c r="S970" s="602">
        <v>6.8440646707164898</v>
      </c>
      <c r="T970" s="1000">
        <v>6.5397734232717299</v>
      </c>
    </row>
    <row r="971" spans="1:20">
      <c r="A971" t="s">
        <v>2983</v>
      </c>
      <c r="B971" s="6" t="str">
        <f>HYPERLINK("http://www.ncbi.nlm.nih.gov/gene/20324", "20324")</f>
        <v>20324</v>
      </c>
      <c r="C971" s="6" t="str">
        <f>HYPERLINK("http://www.ncbi.nlm.nih.gov/gene/8436", "8436")</f>
        <v>8436</v>
      </c>
      <c r="D971" t="str">
        <f>"Sdpr"</f>
        <v>Sdpr</v>
      </c>
      <c r="E971" t="s">
        <v>2984</v>
      </c>
      <c r="F971" t="s">
        <v>2985</v>
      </c>
      <c r="H971" s="520">
        <v>6</v>
      </c>
      <c r="I971" s="181">
        <v>6.4199189684341302</v>
      </c>
      <c r="J971" s="23">
        <v>6.4886236681757197</v>
      </c>
      <c r="K971" s="111">
        <v>6.6506641772254103</v>
      </c>
      <c r="L971" s="2540">
        <v>7.1322440077313596</v>
      </c>
      <c r="M971" s="882">
        <v>7.1087508028923097</v>
      </c>
      <c r="N971" s="775">
        <v>7.1309089916514603</v>
      </c>
      <c r="O971" s="1639">
        <v>6.2560381741840798</v>
      </c>
      <c r="P971" s="1330">
        <v>6.3779560120202303</v>
      </c>
      <c r="Q971" s="2097">
        <v>6.4858836184716298</v>
      </c>
      <c r="R971" s="923">
        <v>7.2647441086704596</v>
      </c>
      <c r="S971" s="565">
        <v>7.6322246687948097</v>
      </c>
      <c r="T971" s="1004">
        <v>7.4696237582186704</v>
      </c>
    </row>
    <row r="972" spans="1:20">
      <c r="A972" t="s">
        <v>2986</v>
      </c>
      <c r="B972" s="6" t="str">
        <f>HYPERLINK("http://www.ncbi.nlm.nih.gov/gene/330319", "330319")</f>
        <v>330319</v>
      </c>
      <c r="C972" s="6" t="str">
        <f>HYPERLINK("http://www.ncbi.nlm.nih.gov/gene/644150", "644150")</f>
        <v>644150</v>
      </c>
      <c r="D972" t="str">
        <f>"Wipf3"</f>
        <v>Wipf3</v>
      </c>
      <c r="E972" t="s">
        <v>2987</v>
      </c>
      <c r="F972" t="s">
        <v>2988</v>
      </c>
      <c r="H972" s="520">
        <v>6</v>
      </c>
      <c r="I972" s="142">
        <v>3.99419581505648</v>
      </c>
      <c r="J972" s="105">
        <v>4.3748291962762798</v>
      </c>
      <c r="K972" s="100">
        <v>3.7998759836524898</v>
      </c>
      <c r="L972" s="2561">
        <v>5.6989376392005804</v>
      </c>
      <c r="M972" s="875">
        <v>5.2783672764505098</v>
      </c>
      <c r="N972" s="956">
        <v>5.3410005192713497</v>
      </c>
      <c r="O972" s="1640">
        <v>3.7691460687398401</v>
      </c>
      <c r="P972" s="1040">
        <v>4.1166330194147402</v>
      </c>
      <c r="Q972" s="2052">
        <v>4.0129803258244801</v>
      </c>
      <c r="R972" s="958">
        <v>5.8802241285367396</v>
      </c>
      <c r="S972" s="553">
        <v>5.9398340611967004</v>
      </c>
      <c r="T972" s="1154">
        <v>5.9585755169727701</v>
      </c>
    </row>
    <row r="973" spans="1:20">
      <c r="A973" t="s">
        <v>2989</v>
      </c>
      <c r="B973" s="6" t="str">
        <f>HYPERLINK("http://www.ncbi.nlm.nih.gov/gene/235402", "235402")</f>
        <v>235402</v>
      </c>
      <c r="C973" s="6" t="str">
        <f>HYPERLINK("http://www.ncbi.nlm.nih.gov/gene/84894", "84894")</f>
        <v>84894</v>
      </c>
      <c r="D973" t="str">
        <f>"Lingo1"</f>
        <v>Lingo1</v>
      </c>
      <c r="E973" t="s">
        <v>2990</v>
      </c>
      <c r="F973" t="s">
        <v>3016</v>
      </c>
      <c r="H973" s="520">
        <v>6</v>
      </c>
      <c r="I973" s="305">
        <v>4.0805607383681002</v>
      </c>
      <c r="J973" s="98">
        <v>3.9543706667109801</v>
      </c>
      <c r="K973" s="467">
        <v>3.5876610963598301</v>
      </c>
      <c r="L973" s="1963">
        <v>4.6505919263807201</v>
      </c>
      <c r="M973" s="842">
        <v>5.0521771873824699</v>
      </c>
      <c r="N973" s="912">
        <v>5.1569520597408696</v>
      </c>
      <c r="O973" s="1640">
        <v>3.4325992325452401</v>
      </c>
      <c r="P973" s="1591">
        <v>3.4682439953525099</v>
      </c>
      <c r="Q973" s="2147">
        <v>3.6342485246668099</v>
      </c>
      <c r="R973" s="919">
        <v>5.5154461784165703</v>
      </c>
      <c r="S973" s="823">
        <v>5.5978803881454997</v>
      </c>
      <c r="T973" s="1214">
        <v>5.61790832072756</v>
      </c>
    </row>
    <row r="974" spans="1:20">
      <c r="A974" t="s">
        <v>3017</v>
      </c>
      <c r="B974" s="6" t="str">
        <f>HYPERLINK("http://www.ncbi.nlm.nih.gov/gene/11988", "11988")</f>
        <v>11988</v>
      </c>
      <c r="C974" s="6" t="str">
        <f>HYPERLINK("http://www.ncbi.nlm.nih.gov/gene/6542", "6542")</f>
        <v>6542</v>
      </c>
      <c r="D974" t="str">
        <f>"Slc7a2"</f>
        <v>Slc7a2</v>
      </c>
      <c r="E974" t="s">
        <v>3018</v>
      </c>
      <c r="F974" t="s">
        <v>2995</v>
      </c>
      <c r="H974" s="520">
        <v>6</v>
      </c>
      <c r="I974" s="68">
        <v>6.0915091000775599</v>
      </c>
      <c r="J974" s="79">
        <v>6.0137355449945904</v>
      </c>
      <c r="K974" s="160">
        <v>5.9517115489536803</v>
      </c>
      <c r="L974" s="2120">
        <v>6.79894511134298</v>
      </c>
      <c r="M974" s="924">
        <v>7.1842574258117802</v>
      </c>
      <c r="N974" s="766">
        <v>6.9672452050637403</v>
      </c>
      <c r="O974" s="1641">
        <v>5.0786386271335102</v>
      </c>
      <c r="P974" s="1321">
        <v>5.3611307605722001</v>
      </c>
      <c r="Q974" s="2477">
        <v>5.6760353992715196</v>
      </c>
      <c r="R974" s="553">
        <v>7.7921484533691698</v>
      </c>
      <c r="S974" s="804">
        <v>8.0045770374861593</v>
      </c>
      <c r="T974" s="1212">
        <v>7.9040829137057296</v>
      </c>
    </row>
    <row r="975" spans="1:20">
      <c r="A975" t="s">
        <v>2996</v>
      </c>
      <c r="B975" s="6" t="str">
        <f>HYPERLINK("http://www.ncbi.nlm.nih.gov/gene/54216", "54216")</f>
        <v>54216</v>
      </c>
      <c r="C975" s="6" t="str">
        <f>HYPERLINK("http://www.ncbi.nlm.nih.gov/gene/5099", "5099")</f>
        <v>5099</v>
      </c>
      <c r="D975" t="str">
        <f>"Pcdh7"</f>
        <v>Pcdh7</v>
      </c>
      <c r="E975" t="s">
        <v>2997</v>
      </c>
      <c r="F975" t="s">
        <v>2600</v>
      </c>
      <c r="H975" s="520">
        <v>6</v>
      </c>
      <c r="I975" s="98">
        <v>7.4116331944039597</v>
      </c>
      <c r="J975" s="156">
        <v>7.3877154388317496</v>
      </c>
      <c r="K975" s="80">
        <v>7.1805036233952997</v>
      </c>
      <c r="L975" s="2186">
        <v>8.22146514261172</v>
      </c>
      <c r="M975" s="763">
        <v>8.1253988767086103</v>
      </c>
      <c r="N975" s="875">
        <v>8.2015259775939509</v>
      </c>
      <c r="O975" s="1085">
        <v>7.0004820654261604</v>
      </c>
      <c r="P975" s="1319">
        <v>6.9871790518119896</v>
      </c>
      <c r="Q975" s="2142">
        <v>7.1640875511475004</v>
      </c>
      <c r="R975" s="607">
        <v>9.0147658596421003</v>
      </c>
      <c r="S975" s="919">
        <v>8.7355141783199404</v>
      </c>
      <c r="T975" s="1092">
        <v>8.7900681850311599</v>
      </c>
    </row>
    <row r="976" spans="1:20">
      <c r="A976" t="s">
        <v>2998</v>
      </c>
      <c r="B976" s="6" t="str">
        <f>HYPERLINK("http://www.ncbi.nlm.nih.gov/gene/20355", "20355")</f>
        <v>20355</v>
      </c>
      <c r="C976" s="6" t="str">
        <f>HYPERLINK("http://www.ncbi.nlm.nih.gov/gene/10505", "10505")</f>
        <v>10505</v>
      </c>
      <c r="D976" t="str">
        <f>"Sema4f"</f>
        <v>Sema4f</v>
      </c>
      <c r="E976" t="s">
        <v>3002</v>
      </c>
      <c r="F976" t="s">
        <v>3003</v>
      </c>
      <c r="G976" t="s">
        <v>604</v>
      </c>
      <c r="H976" s="520">
        <v>6</v>
      </c>
      <c r="I976" s="129">
        <v>4.5247680743602299</v>
      </c>
      <c r="J976" s="24">
        <v>4.33405846488255</v>
      </c>
      <c r="K976" s="98">
        <v>4.5461490670414797</v>
      </c>
      <c r="L976" s="2008">
        <v>5.9506585888970598</v>
      </c>
      <c r="M976" s="845">
        <v>5.6516436172534199</v>
      </c>
      <c r="N976" s="1250">
        <v>6.0646537216085799</v>
      </c>
      <c r="O976" s="1642">
        <v>3.8108223094542399</v>
      </c>
      <c r="P976" s="722">
        <v>3.8804169195065201</v>
      </c>
      <c r="Q976" s="2406">
        <v>3.9827642807561898</v>
      </c>
      <c r="R976" s="590">
        <v>7.1354977820732097</v>
      </c>
      <c r="S976" s="639">
        <v>7.0240953025878001</v>
      </c>
      <c r="T976" s="1205">
        <v>7.1034648274243599</v>
      </c>
    </row>
    <row r="977" spans="1:20">
      <c r="A977" t="s">
        <v>3004</v>
      </c>
      <c r="B977" s="6" t="str">
        <f>HYPERLINK("http://www.ncbi.nlm.nih.gov/gene/77569", "77569")</f>
        <v>77569</v>
      </c>
      <c r="C977" s="6" t="str">
        <f>HYPERLINK("http://www.ncbi.nlm.nih.gov/gene/22998", "22998")</f>
        <v>22998</v>
      </c>
      <c r="D977" t="str">
        <f>"Limch1"</f>
        <v>Limch1</v>
      </c>
      <c r="E977" t="s">
        <v>3005</v>
      </c>
      <c r="F977" t="s">
        <v>3006</v>
      </c>
      <c r="H977" s="520">
        <v>6</v>
      </c>
      <c r="I977" s="37">
        <v>5.7338702752226096</v>
      </c>
      <c r="J977" s="237">
        <v>5.4165753416956397</v>
      </c>
      <c r="K977" s="91">
        <v>5.7796995994235498</v>
      </c>
      <c r="L977" s="2562">
        <v>7.4116526437795702</v>
      </c>
      <c r="M977" s="875">
        <v>7.1961137375831496</v>
      </c>
      <c r="N977" s="899">
        <v>7.3142234947836</v>
      </c>
      <c r="O977" s="1590">
        <v>4.8749555803878897</v>
      </c>
      <c r="P977" s="992">
        <v>5.4970282406638704</v>
      </c>
      <c r="Q977" s="2432">
        <v>5.2343017094821596</v>
      </c>
      <c r="R977" s="755">
        <v>8.3007642821495899</v>
      </c>
      <c r="S977" s="769">
        <v>8.1576382462424402</v>
      </c>
      <c r="T977" s="1171">
        <v>8.1444463268618108</v>
      </c>
    </row>
    <row r="978" spans="1:20">
      <c r="A978" t="s">
        <v>3007</v>
      </c>
      <c r="B978" s="6" t="str">
        <f>HYPERLINK("http://www.ncbi.nlm.nih.gov/gene/72022", "72022")</f>
        <v>72022</v>
      </c>
      <c r="C978" s="6" t="str">
        <f>HYPERLINK("http://www.ncbi.nlm.nih.gov/gene/54733", "54733")</f>
        <v>54733</v>
      </c>
      <c r="D978" t="str">
        <f>"Slc35f2"</f>
        <v>Slc35f2</v>
      </c>
      <c r="E978" t="s">
        <v>3008</v>
      </c>
      <c r="F978" t="s">
        <v>323</v>
      </c>
      <c r="H978" s="520">
        <v>6</v>
      </c>
      <c r="I978" s="24">
        <v>3.34460966434979</v>
      </c>
      <c r="J978" s="81">
        <v>3.37768942557872</v>
      </c>
      <c r="K978" s="27">
        <v>3.3386124139946198</v>
      </c>
      <c r="L978" s="2548">
        <v>4.50271081414341</v>
      </c>
      <c r="M978" s="1429">
        <v>4.7279065728487497</v>
      </c>
      <c r="N978" s="862">
        <v>4.7373252230755298</v>
      </c>
      <c r="O978" s="1348">
        <v>3.5452265259365698</v>
      </c>
      <c r="P978" s="1643">
        <v>2.56173735729296</v>
      </c>
      <c r="Q978" s="2470">
        <v>3.2118458292456098</v>
      </c>
      <c r="R978" s="909">
        <v>4.7596874991420597</v>
      </c>
      <c r="S978" s="837">
        <v>5.5641936580116003</v>
      </c>
      <c r="T978" s="1098">
        <v>5.5715614760274299</v>
      </c>
    </row>
    <row r="979" spans="1:20">
      <c r="A979" t="s">
        <v>3009</v>
      </c>
      <c r="B979" s="6" t="str">
        <f>HYPERLINK("http://www.ncbi.nlm.nih.gov/gene/100861925", "100861925")</f>
        <v>100861925</v>
      </c>
      <c r="C979" s="6" t="str">
        <f>HYPERLINK("http://www.ncbi.nlm.nih.gov/gene/", "")</f>
        <v/>
      </c>
      <c r="D979" t="str">
        <f>"LOC100861925"</f>
        <v>LOC100861925</v>
      </c>
      <c r="E979" t="s">
        <v>3010</v>
      </c>
      <c r="H979" s="520">
        <v>6</v>
      </c>
      <c r="I979" s="130">
        <v>2.8984717800538999</v>
      </c>
      <c r="J979" s="58">
        <v>3.0988118551926198</v>
      </c>
      <c r="K979" s="89">
        <v>3.07378175482516</v>
      </c>
      <c r="L979" s="2186">
        <v>4.1252934181862599</v>
      </c>
      <c r="M979" s="838">
        <v>3.8495651046040398</v>
      </c>
      <c r="N979" s="1248">
        <v>4.3553408008547896</v>
      </c>
      <c r="O979" s="1048">
        <v>2.9853928309815401</v>
      </c>
      <c r="P979" s="1286">
        <v>2.4543433521419198</v>
      </c>
      <c r="Q979" s="2097">
        <v>2.9733197855122602</v>
      </c>
      <c r="R979" s="714">
        <v>4.7717283311694301</v>
      </c>
      <c r="S979" s="787">
        <v>5.17680965881073</v>
      </c>
      <c r="T979" s="1466">
        <v>4.4841652065977904</v>
      </c>
    </row>
    <row r="980" spans="1:20">
      <c r="A980" t="s">
        <v>3011</v>
      </c>
      <c r="B980" s="6" t="str">
        <f>HYPERLINK("http://www.ncbi.nlm.nih.gov/gene/106014", "106014")</f>
        <v>106014</v>
      </c>
      <c r="C980" s="6" t="str">
        <f>HYPERLINK("http://www.ncbi.nlm.nih.gov/gene/25817", "25817")</f>
        <v>25817</v>
      </c>
      <c r="D980" t="str">
        <f>"Fam19a5"</f>
        <v>Fam19a5</v>
      </c>
      <c r="E980" t="s">
        <v>3012</v>
      </c>
      <c r="F980" t="s">
        <v>3013</v>
      </c>
      <c r="H980" s="520">
        <v>6</v>
      </c>
      <c r="I980" s="81">
        <v>3.4501133047461101</v>
      </c>
      <c r="J980" s="55">
        <v>3.5687537307225501</v>
      </c>
      <c r="K980" s="226">
        <v>3.2192434719110499</v>
      </c>
      <c r="L980" s="2547">
        <v>4.2475480953427596</v>
      </c>
      <c r="M980" s="966">
        <v>4.1740626718157898</v>
      </c>
      <c r="N980" s="955">
        <v>4.2164742965731499</v>
      </c>
      <c r="O980" s="1058">
        <v>3.5547901535967701</v>
      </c>
      <c r="P980" s="1441">
        <v>3.0338879401523502</v>
      </c>
      <c r="Q980" s="2316">
        <v>3.3109605612595301</v>
      </c>
      <c r="R980" s="919">
        <v>4.7281889596837603</v>
      </c>
      <c r="S980" s="586">
        <v>4.9672629843302802</v>
      </c>
      <c r="T980" s="1214">
        <v>4.8063788488133099</v>
      </c>
    </row>
    <row r="981" spans="1:20">
      <c r="A981" t="s">
        <v>3014</v>
      </c>
      <c r="B981" s="6" t="str">
        <f>HYPERLINK("http://www.ncbi.nlm.nih.gov/gene/108058", "108058")</f>
        <v>108058</v>
      </c>
      <c r="C981" s="6" t="str">
        <f>HYPERLINK("http://www.ncbi.nlm.nih.gov/gene/817", "817")</f>
        <v>817</v>
      </c>
      <c r="D981" t="str">
        <f>"Camk2d"</f>
        <v>Camk2d</v>
      </c>
      <c r="E981" t="s">
        <v>3015</v>
      </c>
      <c r="F981" t="s">
        <v>3019</v>
      </c>
      <c r="G981" t="s">
        <v>3020</v>
      </c>
      <c r="H981" s="520">
        <v>6</v>
      </c>
      <c r="I981" s="68">
        <v>6.6271854549657201</v>
      </c>
      <c r="J981" s="130">
        <v>6.4455976840538503</v>
      </c>
      <c r="K981" s="312">
        <v>6.3973533384363801</v>
      </c>
      <c r="L981" s="2563">
        <v>7.0963487634420499</v>
      </c>
      <c r="M981" s="732">
        <v>6.9555355430842303</v>
      </c>
      <c r="N981" s="946">
        <v>7.1111489867612896</v>
      </c>
      <c r="O981" s="1048">
        <v>6.4842580827422998</v>
      </c>
      <c r="P981" s="1585">
        <v>6.32469329063718</v>
      </c>
      <c r="Q981" s="2432">
        <v>6.3733933615586098</v>
      </c>
      <c r="R981" s="559">
        <v>7.3884646831584098</v>
      </c>
      <c r="S981" s="718">
        <v>7.4815376325607303</v>
      </c>
      <c r="T981" s="1110">
        <v>7.3670969997805802</v>
      </c>
    </row>
    <row r="982" spans="1:20">
      <c r="A982" t="s">
        <v>3021</v>
      </c>
      <c r="B982" s="6" t="str">
        <f>HYPERLINK("http://www.ncbi.nlm.nih.gov/gene/319876", "319876")</f>
        <v>319876</v>
      </c>
      <c r="C982" s="6" t="str">
        <f>HYPERLINK("http://www.ncbi.nlm.nih.gov/gene/22837", "22837")</f>
        <v>22837</v>
      </c>
      <c r="D982" t="str">
        <f>"Cobll1"</f>
        <v>Cobll1</v>
      </c>
      <c r="E982" t="s">
        <v>3022</v>
      </c>
      <c r="F982" t="s">
        <v>90</v>
      </c>
      <c r="H982" s="520">
        <v>6</v>
      </c>
      <c r="I982" s="321">
        <v>4.1407823446057197</v>
      </c>
      <c r="J982" s="467">
        <v>4.1231992447611798</v>
      </c>
      <c r="K982" s="59">
        <v>4.5760132395740101</v>
      </c>
      <c r="L982" s="2024">
        <v>6.2249822171974598</v>
      </c>
      <c r="M982" s="966">
        <v>6.0023350460448297</v>
      </c>
      <c r="N982" s="945">
        <v>6.5473989952448797</v>
      </c>
      <c r="O982" s="1009">
        <v>4.2003927850171401</v>
      </c>
      <c r="P982" s="1188">
        <v>4.2364154393529798</v>
      </c>
      <c r="Q982" s="2074">
        <v>4.34790362165527</v>
      </c>
      <c r="R982" s="762">
        <v>7.43445547702688</v>
      </c>
      <c r="S982" s="1157">
        <v>7.2620090506448003</v>
      </c>
      <c r="T982" s="1154">
        <v>7.2018204283836704</v>
      </c>
    </row>
    <row r="983" spans="1:20">
      <c r="A983" t="s">
        <v>3023</v>
      </c>
      <c r="B983" s="6" t="str">
        <f>HYPERLINK("http://www.ncbi.nlm.nih.gov/gene/270162", "270162")</f>
        <v>270162</v>
      </c>
      <c r="C983" s="6" t="str">
        <f>HYPERLINK("http://www.ncbi.nlm.nih.gov/gene/55531", "55531")</f>
        <v>55531</v>
      </c>
      <c r="D983" t="str">
        <f>"Elmod1"</f>
        <v>Elmod1</v>
      </c>
      <c r="E983" t="s">
        <v>3024</v>
      </c>
      <c r="F983" t="s">
        <v>3041</v>
      </c>
      <c r="H983" s="520">
        <v>6</v>
      </c>
      <c r="I983" s="164">
        <v>2.1804291157687099</v>
      </c>
      <c r="J983" s="98">
        <v>3.0376132482971698</v>
      </c>
      <c r="K983" s="312">
        <v>2.4071708094764999</v>
      </c>
      <c r="L983" s="2557">
        <v>4.6846665230960598</v>
      </c>
      <c r="M983" s="806">
        <v>4.68935538212276</v>
      </c>
      <c r="N983" s="946">
        <v>4.9458530898645803</v>
      </c>
      <c r="O983" s="1595">
        <v>2.4736385056744199</v>
      </c>
      <c r="P983" s="1281">
        <v>2.5551120318924401</v>
      </c>
      <c r="Q983" s="2427">
        <v>2.68915619319595</v>
      </c>
      <c r="R983" s="698">
        <v>6.1927401739695798</v>
      </c>
      <c r="S983" s="1496">
        <v>6.05311398702404</v>
      </c>
      <c r="T983" s="1644">
        <v>5.8550294029622503</v>
      </c>
    </row>
    <row r="984" spans="1:20">
      <c r="A984" t="s">
        <v>3042</v>
      </c>
      <c r="B984" s="6" t="str">
        <f>HYPERLINK("http://www.ncbi.nlm.nih.gov/gene/14049", "14049")</f>
        <v>14049</v>
      </c>
      <c r="C984" s="6" t="str">
        <f>HYPERLINK("http://www.ncbi.nlm.nih.gov/gene/2139", "2139")</f>
        <v>2139</v>
      </c>
      <c r="D984" t="str">
        <f>"Eya2"</f>
        <v>Eya2</v>
      </c>
      <c r="E984" t="s">
        <v>3043</v>
      </c>
      <c r="F984" t="s">
        <v>3025</v>
      </c>
      <c r="H984" s="520">
        <v>6</v>
      </c>
      <c r="I984" s="157">
        <v>3.9098469216240401</v>
      </c>
      <c r="J984" s="106">
        <v>3.8881296033462802</v>
      </c>
      <c r="K984" s="250">
        <v>3.9667293134042398</v>
      </c>
      <c r="L984" s="2564">
        <v>5.0842440282361103</v>
      </c>
      <c r="M984" s="862">
        <v>5.0898465599870404</v>
      </c>
      <c r="N984" s="827">
        <v>4.9430700851414002</v>
      </c>
      <c r="O984" s="1438">
        <v>3.9629590586414198</v>
      </c>
      <c r="P984" s="715">
        <v>4.2209468433625998</v>
      </c>
      <c r="Q984" s="2038">
        <v>4.1731787484589002</v>
      </c>
      <c r="R984" s="644">
        <v>5.6420722631870204</v>
      </c>
      <c r="S984" s="774">
        <v>5.4402588497513804</v>
      </c>
      <c r="T984" s="1128">
        <v>5.4822306406588703</v>
      </c>
    </row>
    <row r="985" spans="1:20">
      <c r="A985" t="s">
        <v>3026</v>
      </c>
      <c r="B985" s="6" t="str">
        <f>HYPERLINK("http://www.ncbi.nlm.nih.gov/gene/27226", "27226")</f>
        <v>27226</v>
      </c>
      <c r="C985" s="6" t="str">
        <f>HYPERLINK("http://www.ncbi.nlm.nih.gov/gene/7941", "7941")</f>
        <v>7941</v>
      </c>
      <c r="D985" t="str">
        <f>"Pla2g7"</f>
        <v>Pla2g7</v>
      </c>
      <c r="E985" t="s">
        <v>3027</v>
      </c>
      <c r="F985" t="s">
        <v>3028</v>
      </c>
      <c r="G985" t="s">
        <v>3029</v>
      </c>
      <c r="H985" s="520">
        <v>6</v>
      </c>
      <c r="I985" s="122">
        <v>4.4888552358471703</v>
      </c>
      <c r="J985" s="467">
        <v>4.5582536353488798</v>
      </c>
      <c r="K985" s="84">
        <v>4.4522813550612597</v>
      </c>
      <c r="L985" s="2565">
        <v>8.2696341052948998</v>
      </c>
      <c r="M985" s="909">
        <v>8.2510532062931805</v>
      </c>
      <c r="N985" s="975">
        <v>8.5083818171364491</v>
      </c>
      <c r="O985" s="1072">
        <v>4.9528518878169203</v>
      </c>
      <c r="P985" s="641">
        <v>5.1274967375518399</v>
      </c>
      <c r="Q985" s="2142">
        <v>4.7546620786934701</v>
      </c>
      <c r="R985" s="553">
        <v>9.4436843697772108</v>
      </c>
      <c r="S985" s="714">
        <v>9.5007328665064996</v>
      </c>
      <c r="T985" s="1645">
        <v>9.1665234243763205</v>
      </c>
    </row>
    <row r="986" spans="1:20">
      <c r="A986" t="s">
        <v>3030</v>
      </c>
      <c r="B986" s="6" t="str">
        <f>HYPERLINK("http://www.ncbi.nlm.nih.gov/gene/19277", "19277")</f>
        <v>19277</v>
      </c>
      <c r="C986" s="6" t="str">
        <f>HYPERLINK("http://www.ncbi.nlm.nih.gov/gene/5800", "5800")</f>
        <v>5800</v>
      </c>
      <c r="D986" t="str">
        <f>"Ptpro"</f>
        <v>Ptpro</v>
      </c>
      <c r="E986" t="s">
        <v>3031</v>
      </c>
      <c r="F986" t="s">
        <v>3032</v>
      </c>
      <c r="H986" s="520">
        <v>6</v>
      </c>
      <c r="I986" s="250">
        <v>3.6333833666073598</v>
      </c>
      <c r="J986" s="122">
        <v>3.4913480470544802</v>
      </c>
      <c r="K986" s="467">
        <v>3.56808712406536</v>
      </c>
      <c r="L986" s="1973">
        <v>7.2729153000695597</v>
      </c>
      <c r="M986" s="905">
        <v>7.2362478772340699</v>
      </c>
      <c r="N986" s="527">
        <v>7.4961492299881796</v>
      </c>
      <c r="O986" s="1005">
        <v>3.96772562718406</v>
      </c>
      <c r="P986" s="1332">
        <v>3.7743874411398801</v>
      </c>
      <c r="Q986" s="2315">
        <v>4.17715621242374</v>
      </c>
      <c r="R986" s="728">
        <v>8.8678242552489106</v>
      </c>
      <c r="S986" s="769">
        <v>8.6819004654412808</v>
      </c>
      <c r="T986" s="1011">
        <v>8.5957770348971891</v>
      </c>
    </row>
    <row r="987" spans="1:20">
      <c r="A987" t="s">
        <v>3033</v>
      </c>
      <c r="B987" s="6" t="str">
        <f>HYPERLINK("http://www.ncbi.nlm.nih.gov/gene/99470", "99470")</f>
        <v>99470</v>
      </c>
      <c r="C987" s="6" t="str">
        <f>HYPERLINK("http://www.ncbi.nlm.nih.gov/gene/260425", "260425")</f>
        <v>260425</v>
      </c>
      <c r="D987" t="str">
        <f>"Magi3"</f>
        <v>Magi3</v>
      </c>
      <c r="E987" t="s">
        <v>3034</v>
      </c>
      <c r="F987" t="s">
        <v>3035</v>
      </c>
      <c r="G987" t="s">
        <v>2024</v>
      </c>
      <c r="H987" s="520">
        <v>6</v>
      </c>
      <c r="I987" s="221">
        <v>6.0247056485277799</v>
      </c>
      <c r="J987" s="164">
        <v>5.9030198052943303</v>
      </c>
      <c r="K987" s="23">
        <v>6.1007668371964803</v>
      </c>
      <c r="L987" s="2566">
        <v>6.8447569287002104</v>
      </c>
      <c r="M987" s="901">
        <v>6.8903527754592497</v>
      </c>
      <c r="N987" s="938">
        <v>7.10250037858785</v>
      </c>
      <c r="O987" s="1575">
        <v>6.0650093946834396</v>
      </c>
      <c r="P987" s="1340">
        <v>6.0550696278802603</v>
      </c>
      <c r="Q987" s="2042">
        <v>6.0734937997295102</v>
      </c>
      <c r="R987" s="587">
        <v>7.5639737254414703</v>
      </c>
      <c r="S987" s="930">
        <v>7.1069326704399298</v>
      </c>
      <c r="T987" s="1645">
        <v>7.2199428913449601</v>
      </c>
    </row>
    <row r="988" spans="1:20">
      <c r="A988" t="s">
        <v>3036</v>
      </c>
      <c r="B988" s="6" t="str">
        <f>HYPERLINK("http://www.ncbi.nlm.nih.gov/gene/67621", "67621")</f>
        <v>67621</v>
      </c>
      <c r="C988" s="6" t="str">
        <f>HYPERLINK("http://www.ncbi.nlm.nih.gov/gene/79656", "79656")</f>
        <v>79656</v>
      </c>
      <c r="D988" t="str">
        <f>"Bend5"</f>
        <v>Bend5</v>
      </c>
      <c r="E988" t="s">
        <v>3037</v>
      </c>
      <c r="F988" t="s">
        <v>3038</v>
      </c>
      <c r="H988" s="520">
        <v>6</v>
      </c>
      <c r="I988" s="122">
        <v>6.7233032321705304</v>
      </c>
      <c r="J988" s="164">
        <v>6.6770314182149004</v>
      </c>
      <c r="K988" s="37">
        <v>6.9124274263562002</v>
      </c>
      <c r="L988" s="2567">
        <v>7.34896516482008</v>
      </c>
      <c r="M988" s="888">
        <v>7.6237956338299799</v>
      </c>
      <c r="N988" s="1457">
        <v>7.5712597593119604</v>
      </c>
      <c r="O988" s="1072">
        <v>6.8277535766866704</v>
      </c>
      <c r="P988" s="876">
        <v>6.83140394562324</v>
      </c>
      <c r="Q988" s="2148">
        <v>6.7741450292021996</v>
      </c>
      <c r="R988" s="762">
        <v>7.9091265244839404</v>
      </c>
      <c r="S988" s="548">
        <v>7.7518438645443997</v>
      </c>
      <c r="T988" s="1214">
        <v>7.8686606105282904</v>
      </c>
    </row>
    <row r="989" spans="1:20">
      <c r="A989" t="s">
        <v>3039</v>
      </c>
      <c r="B989" s="6" t="str">
        <f>HYPERLINK("http://www.ncbi.nlm.nih.gov/gene/319446", "319446")</f>
        <v>319446</v>
      </c>
      <c r="C989" s="6" t="str">
        <f>HYPERLINK("http://www.ncbi.nlm.nih.gov/gene/64174", "64174")</f>
        <v>64174</v>
      </c>
      <c r="D989" t="str">
        <f>"Dpep2"</f>
        <v>Dpep2</v>
      </c>
      <c r="E989" t="s">
        <v>3040</v>
      </c>
      <c r="F989" t="s">
        <v>3044</v>
      </c>
      <c r="H989" s="520">
        <v>6</v>
      </c>
      <c r="I989" s="449">
        <v>3.0979520564762302</v>
      </c>
      <c r="J989" s="83">
        <v>3.6292606373332701</v>
      </c>
      <c r="K989" s="64">
        <v>3.4356006596791202</v>
      </c>
      <c r="L989" s="2568">
        <v>3.9674036372519299</v>
      </c>
      <c r="M989" s="801">
        <v>4.2311082358575201</v>
      </c>
      <c r="N989" s="881">
        <v>4.4756712193810602</v>
      </c>
      <c r="O989" s="1190">
        <v>3.54985180225958</v>
      </c>
      <c r="P989" s="876">
        <v>3.4297410309508698</v>
      </c>
      <c r="Q989" s="2134">
        <v>3.2592873225314101</v>
      </c>
      <c r="R989" s="559">
        <v>4.6794715973056302</v>
      </c>
      <c r="S989" s="755">
        <v>4.7316949058960196</v>
      </c>
      <c r="T989" s="1171">
        <v>4.6589908029008704</v>
      </c>
    </row>
    <row r="990" spans="1:20">
      <c r="A990" t="s">
        <v>3045</v>
      </c>
      <c r="B990" s="6" t="str">
        <f>HYPERLINK("http://www.ncbi.nlm.nih.gov/gene/72433", "72433")</f>
        <v>72433</v>
      </c>
      <c r="C990" s="6" t="str">
        <f>HYPERLINK("http://www.ncbi.nlm.nih.gov/gene/23682", "23682")</f>
        <v>23682</v>
      </c>
      <c r="D990" t="str">
        <f>"Rab38"</f>
        <v>Rab38</v>
      </c>
      <c r="E990" t="s">
        <v>3046</v>
      </c>
      <c r="F990" t="s">
        <v>3047</v>
      </c>
      <c r="H990" s="520">
        <v>6</v>
      </c>
      <c r="I990" s="175">
        <v>4.6428357821372801</v>
      </c>
      <c r="J990" s="237">
        <v>4.8475762009191996</v>
      </c>
      <c r="K990" s="39">
        <v>4.8385601210217102</v>
      </c>
      <c r="L990" s="2554">
        <v>5.8854125067982297</v>
      </c>
      <c r="M990" s="844">
        <v>6.1486180850780903</v>
      </c>
      <c r="N990" s="1452">
        <v>5.9275016635923796</v>
      </c>
      <c r="O990" s="1089">
        <v>5.00010613326792</v>
      </c>
      <c r="P990" s="537">
        <v>5.0348799734017096</v>
      </c>
      <c r="Q990" s="2331">
        <v>4.7631350580281397</v>
      </c>
      <c r="R990" s="559">
        <v>6.5660643765625597</v>
      </c>
      <c r="S990" s="657">
        <v>6.7154562526954802</v>
      </c>
      <c r="T990" s="1088">
        <v>6.5638645179999102</v>
      </c>
    </row>
    <row r="991" spans="1:20">
      <c r="A991" t="s">
        <v>3048</v>
      </c>
      <c r="B991" s="6" t="str">
        <f>HYPERLINK("http://www.ncbi.nlm.nih.gov/gene/12425", "12425")</f>
        <v>12425</v>
      </c>
      <c r="C991" s="6" t="str">
        <f>HYPERLINK("http://www.ncbi.nlm.nih.gov/gene/886", "886")</f>
        <v>886</v>
      </c>
      <c r="D991" t="str">
        <f>"Cckar"</f>
        <v>Cckar</v>
      </c>
      <c r="E991" t="s">
        <v>3049</v>
      </c>
      <c r="F991" t="s">
        <v>3050</v>
      </c>
      <c r="G991" t="s">
        <v>3051</v>
      </c>
      <c r="H991" s="520">
        <v>6</v>
      </c>
      <c r="I991" s="150">
        <v>2.5317491725286199</v>
      </c>
      <c r="J991" s="34">
        <v>3.22328785948983</v>
      </c>
      <c r="K991" s="194">
        <v>3.1569768512440999</v>
      </c>
      <c r="L991" s="2554">
        <v>4.6881303609727203</v>
      </c>
      <c r="M991" s="1475">
        <v>5.2242470439117499</v>
      </c>
      <c r="N991" s="882">
        <v>4.8453017418762103</v>
      </c>
      <c r="O991" s="1462">
        <v>2.7788393760571002</v>
      </c>
      <c r="P991" s="1007">
        <v>3.1125709353384798</v>
      </c>
      <c r="Q991" s="2075">
        <v>2.8376014822862201</v>
      </c>
      <c r="R991" s="1170">
        <v>5.5457141201339697</v>
      </c>
      <c r="S991" s="804">
        <v>6.0737993294768602</v>
      </c>
      <c r="T991" s="1265">
        <v>5.9455538929947496</v>
      </c>
    </row>
    <row r="992" spans="1:20">
      <c r="A992" t="s">
        <v>3052</v>
      </c>
      <c r="B992" s="6" t="str">
        <f>HYPERLINK("http://www.ncbi.nlm.nih.gov/gene/105853", "105853")</f>
        <v>105853</v>
      </c>
      <c r="C992" s="6" t="str">
        <f>HYPERLINK("http://www.ncbi.nlm.nih.gov/gene/114569", "114569")</f>
        <v>114569</v>
      </c>
      <c r="D992" t="str">
        <f>"Mal2"</f>
        <v>Mal2</v>
      </c>
      <c r="E992" t="s">
        <v>3053</v>
      </c>
      <c r="F992" t="s">
        <v>2686</v>
      </c>
      <c r="H992" s="520">
        <v>6</v>
      </c>
      <c r="I992" s="237">
        <v>3.7096962583929498</v>
      </c>
      <c r="J992" s="176">
        <v>4.2650277705640098</v>
      </c>
      <c r="K992" s="507">
        <v>3.2257971321702601</v>
      </c>
      <c r="L992" s="2190">
        <v>4.4843569460471002</v>
      </c>
      <c r="M992" s="937">
        <v>4.7737781513941204</v>
      </c>
      <c r="N992" s="536">
        <v>4.9335425661986001</v>
      </c>
      <c r="O992" s="1052">
        <v>3.8303307661760302</v>
      </c>
      <c r="P992" s="1029">
        <v>3.7127595391850301</v>
      </c>
      <c r="Q992" s="2329">
        <v>3.7380834522706201</v>
      </c>
      <c r="R992" s="958">
        <v>5.16983012984723</v>
      </c>
      <c r="S992" s="1198">
        <v>5.2289253159669604</v>
      </c>
      <c r="T992" s="1199">
        <v>5.2827185026229397</v>
      </c>
    </row>
    <row r="993" spans="1:20">
      <c r="A993" t="s">
        <v>3054</v>
      </c>
      <c r="B993" s="6" t="str">
        <f>HYPERLINK("http://www.ncbi.nlm.nih.gov/gene/12862", "12862")</f>
        <v>12862</v>
      </c>
      <c r="C993" s="6" t="str">
        <f>HYPERLINK("http://www.ncbi.nlm.nih.gov/gene/1339", "1339")</f>
        <v>1339</v>
      </c>
      <c r="D993" t="str">
        <f>"Cox6a2"</f>
        <v>Cox6a2</v>
      </c>
      <c r="E993" t="s">
        <v>3055</v>
      </c>
      <c r="F993" t="s">
        <v>3056</v>
      </c>
      <c r="G993" t="s">
        <v>3057</v>
      </c>
      <c r="H993" s="520">
        <v>6</v>
      </c>
      <c r="I993" s="65">
        <v>3.7230404450520398</v>
      </c>
      <c r="J993" s="262">
        <v>4.3753508148493099</v>
      </c>
      <c r="K993" s="57">
        <v>4.2397518146008997</v>
      </c>
      <c r="L993" s="2179">
        <v>4.8196354984212002</v>
      </c>
      <c r="M993" s="875">
        <v>4.85177194046328</v>
      </c>
      <c r="N993" s="853">
        <v>4.3678124247350398</v>
      </c>
      <c r="O993" s="1224">
        <v>3.9897282926834001</v>
      </c>
      <c r="P993" s="1447">
        <v>3.6333934535703101</v>
      </c>
      <c r="Q993" s="2569">
        <v>3.7589117462975699</v>
      </c>
      <c r="R993" s="938">
        <v>5.1425018256365203</v>
      </c>
      <c r="S993" s="777">
        <v>5.6399642358554596</v>
      </c>
      <c r="T993" s="1057">
        <v>5.6547417368730502</v>
      </c>
    </row>
    <row r="994" spans="1:20">
      <c r="A994" t="s">
        <v>3058</v>
      </c>
      <c r="B994" s="6" t="str">
        <f>HYPERLINK("http://www.ncbi.nlm.nih.gov/gene/216749", "216749")</f>
        <v>216749</v>
      </c>
      <c r="C994" s="6" t="str">
        <f>HYPERLINK("http://www.ncbi.nlm.nih.gov/gene/56923", "56923")</f>
        <v>56923</v>
      </c>
      <c r="D994" t="str">
        <f>"Nmur2"</f>
        <v>Nmur2</v>
      </c>
      <c r="E994" t="s">
        <v>3065</v>
      </c>
      <c r="F994" t="s">
        <v>3059</v>
      </c>
      <c r="G994" t="s">
        <v>106</v>
      </c>
      <c r="H994" s="520">
        <v>6</v>
      </c>
      <c r="I994" s="239">
        <v>2.95387584489665</v>
      </c>
      <c r="J994" s="90">
        <v>3.3388219674889901</v>
      </c>
      <c r="K994" s="142">
        <v>2.9037259684178598</v>
      </c>
      <c r="L994" s="2024">
        <v>3.9189692742323201</v>
      </c>
      <c r="M994" s="1532">
        <v>3.78839969638299</v>
      </c>
      <c r="N994" s="604">
        <v>3.2609470656910902</v>
      </c>
      <c r="O994" s="1056">
        <v>3.2582603837231798</v>
      </c>
      <c r="P994" s="851">
        <v>3.1655882982822998</v>
      </c>
      <c r="Q994" s="2494">
        <v>2.5855005703345899</v>
      </c>
      <c r="R994" s="945">
        <v>4.0818005970778399</v>
      </c>
      <c r="S994" s="994">
        <v>4.9239237058248797</v>
      </c>
      <c r="T994" s="1261">
        <v>4.5667127323424399</v>
      </c>
    </row>
    <row r="995" spans="1:20">
      <c r="A995" t="s">
        <v>3060</v>
      </c>
      <c r="B995" s="6" t="str">
        <f>HYPERLINK("http://www.ncbi.nlm.nih.gov/gene/238276", "238276")</f>
        <v>238276</v>
      </c>
      <c r="C995" s="6" t="str">
        <f>HYPERLINK("http://www.ncbi.nlm.nih.gov/gene/9495", "9495")</f>
        <v>9495</v>
      </c>
      <c r="D995" t="str">
        <f>"Akap5"</f>
        <v>Akap5</v>
      </c>
      <c r="E995" t="s">
        <v>3061</v>
      </c>
      <c r="F995" t="s">
        <v>3062</v>
      </c>
      <c r="H995" s="520">
        <v>6</v>
      </c>
      <c r="I995" s="79">
        <v>5.8865396577315101</v>
      </c>
      <c r="J995" s="58">
        <v>5.7703964158917396</v>
      </c>
      <c r="K995" s="273">
        <v>5.7331074441554701</v>
      </c>
      <c r="L995" s="2570">
        <v>6.26099253838251</v>
      </c>
      <c r="M995" s="751">
        <v>6.4679658382282099</v>
      </c>
      <c r="N995" s="1296">
        <v>6.3563798839309298</v>
      </c>
      <c r="O995" s="1177">
        <v>5.4457377878626696</v>
      </c>
      <c r="P995" s="1153">
        <v>5.4506715475507699</v>
      </c>
      <c r="Q995" s="2071">
        <v>5.8413531099977201</v>
      </c>
      <c r="R995" s="682">
        <v>8.0463165954019704</v>
      </c>
      <c r="S995" s="577">
        <v>7.9272946207389001</v>
      </c>
      <c r="T995" s="1084">
        <v>7.7632269154902298</v>
      </c>
    </row>
    <row r="996" spans="1:20">
      <c r="A996" t="s">
        <v>3063</v>
      </c>
      <c r="B996" s="6" t="str">
        <f>HYPERLINK("http://www.ncbi.nlm.nih.gov/gene/15551", "15551")</f>
        <v>15551</v>
      </c>
      <c r="C996" s="6" t="str">
        <f>HYPERLINK("http://www.ncbi.nlm.nih.gov/gene/3351", "3351")</f>
        <v>3351</v>
      </c>
      <c r="D996" t="str">
        <f>"Htr1b"</f>
        <v>Htr1b</v>
      </c>
      <c r="E996" t="s">
        <v>3064</v>
      </c>
      <c r="F996" t="s">
        <v>3066</v>
      </c>
      <c r="G996" t="s">
        <v>106</v>
      </c>
      <c r="H996" s="520">
        <v>6</v>
      </c>
      <c r="I996" s="50">
        <v>4.3657529373134798</v>
      </c>
      <c r="J996" s="58">
        <v>4.2113561591912898</v>
      </c>
      <c r="K996" s="28">
        <v>4.5452279295200597</v>
      </c>
      <c r="L996" s="1919">
        <v>5.6428802729967202</v>
      </c>
      <c r="M996" s="793">
        <v>5.1612303391698697</v>
      </c>
      <c r="N996" s="916">
        <v>5.8684505366784601</v>
      </c>
      <c r="O996" s="1596">
        <v>3.5531350818931098</v>
      </c>
      <c r="P996" s="1646">
        <v>3.1899757826777999</v>
      </c>
      <c r="Q996" s="2476">
        <v>4.1422200089226902</v>
      </c>
      <c r="R996" s="598">
        <v>8.3818065450196606</v>
      </c>
      <c r="S996" s="837">
        <v>8.2034991253019793</v>
      </c>
      <c r="T996" s="995">
        <v>8.2420826050430094</v>
      </c>
    </row>
    <row r="997" spans="1:20">
      <c r="A997" t="s">
        <v>3067</v>
      </c>
      <c r="B997" s="6" t="str">
        <f>HYPERLINK("http://www.ncbi.nlm.nih.gov/gene/18018", "18018")</f>
        <v>18018</v>
      </c>
      <c r="C997" s="6" t="str">
        <f>HYPERLINK("http://www.ncbi.nlm.nih.gov/gene/4772", "4772")</f>
        <v>4772</v>
      </c>
      <c r="D997" t="str">
        <f>"Nfatc1"</f>
        <v>Nfatc1</v>
      </c>
      <c r="E997" t="s">
        <v>3068</v>
      </c>
      <c r="F997" t="s">
        <v>3069</v>
      </c>
      <c r="G997" t="s">
        <v>3080</v>
      </c>
      <c r="H997" s="520">
        <v>6</v>
      </c>
      <c r="I997" s="125">
        <v>4.5011779909479301</v>
      </c>
      <c r="J997" s="83">
        <v>4.3846465808571002</v>
      </c>
      <c r="K997" s="36">
        <v>4.4112786852677397</v>
      </c>
      <c r="L997" s="2560">
        <v>4.64217316802615</v>
      </c>
      <c r="M997" s="1226">
        <v>4.65281555180069</v>
      </c>
      <c r="N997" s="942">
        <v>4.69330256870004</v>
      </c>
      <c r="O997" s="1639">
        <v>3.9755200182435102</v>
      </c>
      <c r="P997" s="1442">
        <v>4.0781692528444804</v>
      </c>
      <c r="Q997" s="2316">
        <v>4.1579346595005298</v>
      </c>
      <c r="R997" s="679">
        <v>5.4302961451874499</v>
      </c>
      <c r="S997" s="674">
        <v>5.5580495867987896</v>
      </c>
      <c r="T997" s="1015">
        <v>5.1661793564716803</v>
      </c>
    </row>
    <row r="998" spans="1:20">
      <c r="A998" t="s">
        <v>3081</v>
      </c>
      <c r="B998" s="6" t="str">
        <f>HYPERLINK("http://www.ncbi.nlm.nih.gov/gene/71198", "71198")</f>
        <v>71198</v>
      </c>
      <c r="C998" s="6" t="str">
        <f>HYPERLINK("http://www.ncbi.nlm.nih.gov/gene/220213", "220213")</f>
        <v>220213</v>
      </c>
      <c r="D998" t="str">
        <f>"Otud1"</f>
        <v>Otud1</v>
      </c>
      <c r="E998" t="s">
        <v>3082</v>
      </c>
      <c r="F998" t="s">
        <v>90</v>
      </c>
      <c r="H998" s="520">
        <v>6</v>
      </c>
      <c r="I998" s="104">
        <v>4.2365578913748898</v>
      </c>
      <c r="J998" s="109">
        <v>3.9352629172871199</v>
      </c>
      <c r="K998" s="202">
        <v>4.2969395378025403</v>
      </c>
      <c r="L998" s="2571">
        <v>4.2825530677487098</v>
      </c>
      <c r="M998" s="1065">
        <v>4.2758664133661597</v>
      </c>
      <c r="N998" s="875">
        <v>4.6442006473189803</v>
      </c>
      <c r="O998" s="1598">
        <v>4.0037633808599704</v>
      </c>
      <c r="P998" s="1191">
        <v>3.9811092167435702</v>
      </c>
      <c r="Q998" s="2323">
        <v>3.8340882003901098</v>
      </c>
      <c r="R998" s="689">
        <v>5.0683485708322999</v>
      </c>
      <c r="S998" s="652">
        <v>5.2391868993888098</v>
      </c>
      <c r="T998" s="1050">
        <v>5.1371360338798198</v>
      </c>
    </row>
    <row r="999" spans="1:20">
      <c r="A999" t="s">
        <v>3083</v>
      </c>
      <c r="B999" s="6" t="str">
        <f>HYPERLINK("http://www.ncbi.nlm.nih.gov/gene/70701", "70701")</f>
        <v>70701</v>
      </c>
      <c r="C999" s="6" t="str">
        <f>HYPERLINK("http://www.ncbi.nlm.nih.gov/gene/152519", "152519")</f>
        <v>152519</v>
      </c>
      <c r="D999" t="str">
        <f>"Nipal1"</f>
        <v>Nipal1</v>
      </c>
      <c r="E999" t="s">
        <v>3084</v>
      </c>
      <c r="F999" t="s">
        <v>1559</v>
      </c>
      <c r="H999" s="520">
        <v>6</v>
      </c>
      <c r="I999" s="154">
        <v>3.8133630671997398</v>
      </c>
      <c r="J999" s="126">
        <v>3.9731472402198702</v>
      </c>
      <c r="K999" s="126">
        <v>3.9717160342229301</v>
      </c>
      <c r="L999" s="2059">
        <v>3.9362610574974499</v>
      </c>
      <c r="M999" s="1215">
        <v>4.04748237180514</v>
      </c>
      <c r="N999" s="732">
        <v>4.2610667880032498</v>
      </c>
      <c r="O999" s="1575">
        <v>3.7443233398875102</v>
      </c>
      <c r="P999" s="537">
        <v>3.82877615962947</v>
      </c>
      <c r="Q999" s="2047">
        <v>3.5993316075642299</v>
      </c>
      <c r="R999" s="634">
        <v>4.62531940100338</v>
      </c>
      <c r="S999" s="1647">
        <v>5.0352777125242998</v>
      </c>
      <c r="T999" s="1262">
        <v>4.8541033433147902</v>
      </c>
    </row>
    <row r="1000" spans="1:20">
      <c r="A1000" t="s">
        <v>3085</v>
      </c>
      <c r="B1000" s="6" t="str">
        <f>HYPERLINK("http://www.ncbi.nlm.nih.gov/gene/11994", "11994")</f>
        <v>11994</v>
      </c>
      <c r="C1000" s="6" t="str">
        <f>HYPERLINK("http://www.ncbi.nlm.nih.gov/gene/65217", "65217")</f>
        <v>65217</v>
      </c>
      <c r="D1000" t="str">
        <f>"Pcdh15"</f>
        <v>Pcdh15</v>
      </c>
      <c r="E1000" t="s">
        <v>3086</v>
      </c>
      <c r="F1000" t="s">
        <v>3070</v>
      </c>
      <c r="H1000" s="520">
        <v>6</v>
      </c>
      <c r="I1000" s="43">
        <v>3.0352328829757802</v>
      </c>
      <c r="J1000" s="51">
        <v>2.9672409869312402</v>
      </c>
      <c r="K1000" s="80">
        <v>2.8512492223550301</v>
      </c>
      <c r="L1000" s="2572">
        <v>4.0952321460163104</v>
      </c>
      <c r="M1000" s="854">
        <v>3.65061951124467</v>
      </c>
      <c r="N1000" s="887">
        <v>4.15929611252567</v>
      </c>
      <c r="O1000" s="1091">
        <v>2.9893705623402602</v>
      </c>
      <c r="P1000" s="1306">
        <v>2.6795519707534301</v>
      </c>
      <c r="Q1000" s="2093">
        <v>3.0241295618794402</v>
      </c>
      <c r="R1000" s="678">
        <v>5.4955451086236096</v>
      </c>
      <c r="S1000" s="559">
        <v>5.0813611609014799</v>
      </c>
      <c r="T1000" s="1103">
        <v>5.3852621670317697</v>
      </c>
    </row>
    <row r="1001" spans="1:20">
      <c r="A1001" t="s">
        <v>3071</v>
      </c>
      <c r="B1001" s="6" t="str">
        <f>HYPERLINK("http://www.ncbi.nlm.nih.gov/gene/16510", "16510")</f>
        <v>16510</v>
      </c>
      <c r="C1001" s="6" t="str">
        <f>HYPERLINK("http://www.ncbi.nlm.nih.gov/gene/3756", "3756")</f>
        <v>3756</v>
      </c>
      <c r="D1001" t="str">
        <f>"Kcnh1"</f>
        <v>Kcnh1</v>
      </c>
      <c r="E1001" t="s">
        <v>3072</v>
      </c>
      <c r="F1001" t="s">
        <v>44</v>
      </c>
      <c r="H1001" s="520">
        <v>6</v>
      </c>
      <c r="I1001" s="26">
        <v>3.99277969479702</v>
      </c>
      <c r="J1001" s="88">
        <v>3.6968614330540102</v>
      </c>
      <c r="K1001" s="51">
        <v>3.6428344736232798</v>
      </c>
      <c r="L1001" s="2573">
        <v>4.8827580946728002</v>
      </c>
      <c r="M1001" s="788">
        <v>4.9987683756407204</v>
      </c>
      <c r="N1001" s="1251">
        <v>4.8482521618063199</v>
      </c>
      <c r="O1001" s="1108">
        <v>3.4725242866705401</v>
      </c>
      <c r="P1001" s="1342">
        <v>3.2879626378725</v>
      </c>
      <c r="Q1001" s="2142">
        <v>3.4394058654539101</v>
      </c>
      <c r="R1001" s="678">
        <v>6.9964275725374598</v>
      </c>
      <c r="S1001" s="590">
        <v>6.6259354369456203</v>
      </c>
      <c r="T1001" s="1098">
        <v>6.7771733644930601</v>
      </c>
    </row>
    <row r="1002" spans="1:20">
      <c r="A1002" t="s">
        <v>3073</v>
      </c>
      <c r="B1002" s="6" t="str">
        <f>HYPERLINK("http://www.ncbi.nlm.nih.gov/gene/319405", "319405")</f>
        <v>319405</v>
      </c>
      <c r="C1002" s="6" t="str">
        <f>HYPERLINK("http://www.ncbi.nlm.nih.gov/gene/", "")</f>
        <v/>
      </c>
      <c r="D1002" t="str">
        <f>"D430036J16Rik"</f>
        <v>D430036J16Rik</v>
      </c>
      <c r="E1002" t="s">
        <v>3074</v>
      </c>
      <c r="F1002" t="s">
        <v>90</v>
      </c>
      <c r="H1002" s="520">
        <v>6</v>
      </c>
      <c r="I1002" s="160">
        <v>3.59638264884968</v>
      </c>
      <c r="J1002" s="91">
        <v>3.55601269156542</v>
      </c>
      <c r="K1002" s="95">
        <v>3.2196644630219899</v>
      </c>
      <c r="L1002" s="2190">
        <v>4.6651997803254499</v>
      </c>
      <c r="M1002" s="746">
        <v>4.4042475878503602</v>
      </c>
      <c r="N1002" s="805">
        <v>4.6367245239570298</v>
      </c>
      <c r="O1002" s="1460">
        <v>3.0736704580372698</v>
      </c>
      <c r="P1002" s="1193">
        <v>3.1320200192115002</v>
      </c>
      <c r="Q1002" s="2056">
        <v>3.3204318556149501</v>
      </c>
      <c r="R1002" s="804">
        <v>6.3786779313671804</v>
      </c>
      <c r="S1002" s="570">
        <v>6.5114453414358904</v>
      </c>
      <c r="T1002" s="1059">
        <v>6.6592464619910601</v>
      </c>
    </row>
    <row r="1003" spans="1:20">
      <c r="A1003" t="s">
        <v>3075</v>
      </c>
      <c r="B1003" s="6" t="str">
        <f>HYPERLINK("http://www.ncbi.nlm.nih.gov/gene/53419", "53419")</f>
        <v>53419</v>
      </c>
      <c r="C1003" s="6" t="str">
        <f>HYPERLINK("http://www.ncbi.nlm.nih.gov/gene/10699", "10699")</f>
        <v>10699</v>
      </c>
      <c r="D1003" t="str">
        <f>"Corin"</f>
        <v>Corin</v>
      </c>
      <c r="E1003" t="s">
        <v>3076</v>
      </c>
      <c r="F1003" t="s">
        <v>3077</v>
      </c>
      <c r="H1003" s="520">
        <v>6</v>
      </c>
      <c r="I1003" s="58">
        <v>5.3477995890017302</v>
      </c>
      <c r="J1003" s="90">
        <v>5.6702246690831402</v>
      </c>
      <c r="K1003" s="199">
        <v>5.1975092703113503</v>
      </c>
      <c r="L1003" s="2159">
        <v>5.84185275366118</v>
      </c>
      <c r="M1003" s="788">
        <v>6.1472083401990902</v>
      </c>
      <c r="N1003" s="649">
        <v>5.8278101721212003</v>
      </c>
      <c r="O1003" s="1005">
        <v>5.1920755510858401</v>
      </c>
      <c r="P1003" s="1174">
        <v>5.0402675720532297</v>
      </c>
      <c r="Q1003" s="2496">
        <v>5.1444774846565702</v>
      </c>
      <c r="R1003" s="686">
        <v>7.3565660914127502</v>
      </c>
      <c r="S1003" s="707">
        <v>7.3338797904804096</v>
      </c>
      <c r="T1003" s="1059">
        <v>7.4444417037267296</v>
      </c>
    </row>
    <row r="1004" spans="1:20">
      <c r="A1004" t="s">
        <v>3078</v>
      </c>
      <c r="B1004" s="6" t="str">
        <f>HYPERLINK("http://www.ncbi.nlm.nih.gov/gene/18751", "18751")</f>
        <v>18751</v>
      </c>
      <c r="C1004" s="6" t="str">
        <f>HYPERLINK("http://www.ncbi.nlm.nih.gov/gene/5579", "5579")</f>
        <v>5579</v>
      </c>
      <c r="D1004" t="str">
        <f>"Prkcb"</f>
        <v>Prkcb</v>
      </c>
      <c r="E1004" t="s">
        <v>3079</v>
      </c>
      <c r="F1004" t="s">
        <v>3087</v>
      </c>
      <c r="G1004" t="s">
        <v>3088</v>
      </c>
      <c r="H1004" s="520">
        <v>6</v>
      </c>
      <c r="I1004" s="141">
        <v>4.0999779815212598</v>
      </c>
      <c r="J1004" s="41">
        <v>4.1571869605807397</v>
      </c>
      <c r="K1004" s="350">
        <v>3.88456716400932</v>
      </c>
      <c r="L1004" s="2046">
        <v>4.3620298510302504</v>
      </c>
      <c r="M1004" s="869">
        <v>4.2929233451810402</v>
      </c>
      <c r="N1004" s="726">
        <v>4.3611236033535103</v>
      </c>
      <c r="O1004" s="989">
        <v>4.1802878070240199</v>
      </c>
      <c r="P1004" s="1346">
        <v>4.0490145391414503</v>
      </c>
      <c r="Q1004" s="2329">
        <v>3.9885228604084499</v>
      </c>
      <c r="R1004" s="868">
        <v>5.1835321483081698</v>
      </c>
      <c r="S1004" s="679">
        <v>5.1285207158242496</v>
      </c>
      <c r="T1004" s="1074">
        <v>5.1174455902858202</v>
      </c>
    </row>
    <row r="1005" spans="1:20">
      <c r="A1005" t="s">
        <v>3089</v>
      </c>
      <c r="B1005" s="6" t="str">
        <f>HYPERLINK("http://www.ncbi.nlm.nih.gov/gene/22778", "22778")</f>
        <v>22778</v>
      </c>
      <c r="C1005" s="6" t="str">
        <f>HYPERLINK("http://www.ncbi.nlm.nih.gov/gene/10320", "10320")</f>
        <v>10320</v>
      </c>
      <c r="D1005" t="str">
        <f>"Ikzf1"</f>
        <v>Ikzf1</v>
      </c>
      <c r="E1005" t="s">
        <v>3090</v>
      </c>
      <c r="F1005" t="s">
        <v>3091</v>
      </c>
      <c r="H1005" s="520">
        <v>6</v>
      </c>
      <c r="I1005" s="75">
        <v>2.4682923155153298</v>
      </c>
      <c r="J1005" s="75">
        <v>2.4675814761754098</v>
      </c>
      <c r="K1005" s="39">
        <v>2.3793557298006101</v>
      </c>
      <c r="L1005" s="2260">
        <v>3.3193724557230899</v>
      </c>
      <c r="M1005" s="739">
        <v>3.7090588227038901</v>
      </c>
      <c r="N1005" s="950">
        <v>3.8261712540475901</v>
      </c>
      <c r="O1005" s="1187">
        <v>2.3803351590770498</v>
      </c>
      <c r="P1005" s="662">
        <v>2.7573757824365099</v>
      </c>
      <c r="Q1005" s="2093">
        <v>2.61038450723251</v>
      </c>
      <c r="R1005" s="634">
        <v>4.7058970787815504</v>
      </c>
      <c r="S1005" s="674">
        <v>5.5811514846177603</v>
      </c>
      <c r="T1005" s="1055">
        <v>5.3322014081666396</v>
      </c>
    </row>
    <row r="1006" spans="1:20">
      <c r="A1006" t="s">
        <v>3092</v>
      </c>
      <c r="B1006" s="6" t="str">
        <f>HYPERLINK("http://www.ncbi.nlm.nih.gov/gene/71914", "71914")</f>
        <v>71914</v>
      </c>
      <c r="C1006" s="6" t="str">
        <f>HYPERLINK("http://www.ncbi.nlm.nih.gov/gene/118429", "118429")</f>
        <v>118429</v>
      </c>
      <c r="D1006" t="str">
        <f>"Antxr2"</f>
        <v>Antxr2</v>
      </c>
      <c r="E1006" t="s">
        <v>3093</v>
      </c>
      <c r="F1006" t="s">
        <v>3094</v>
      </c>
      <c r="H1006" s="520">
        <v>6</v>
      </c>
      <c r="I1006" s="34">
        <v>6.8647809568863396</v>
      </c>
      <c r="J1006" s="80">
        <v>6.7298609597566399</v>
      </c>
      <c r="K1006" s="194">
        <v>6.8301007641899103</v>
      </c>
      <c r="L1006" s="2046">
        <v>7.2774945092945504</v>
      </c>
      <c r="M1006" s="1028">
        <v>7.2173457477392402</v>
      </c>
      <c r="N1006" s="966">
        <v>7.5666123776332199</v>
      </c>
      <c r="O1006" s="1224">
        <v>6.8349133380454097</v>
      </c>
      <c r="P1006" s="573">
        <v>6.8679777817674497</v>
      </c>
      <c r="Q1006" s="2470">
        <v>6.73261866241823</v>
      </c>
      <c r="R1006" s="577">
        <v>8.3932508513375801</v>
      </c>
      <c r="S1006" s="617">
        <v>8.4600655296569194</v>
      </c>
      <c r="T1006" s="990">
        <v>8.2340520160436501</v>
      </c>
    </row>
    <row r="1007" spans="1:20">
      <c r="A1007" t="s">
        <v>3095</v>
      </c>
      <c r="B1007" s="6" t="str">
        <f>HYPERLINK("http://www.ncbi.nlm.nih.gov/gene/228677", "228677")</f>
        <v>228677</v>
      </c>
      <c r="C1007" s="6" t="str">
        <f>HYPERLINK("http://www.ncbi.nlm.nih.gov/gene/55304", "55304")</f>
        <v>55304</v>
      </c>
      <c r="D1007" t="str">
        <f>"Sptlc3"</f>
        <v>Sptlc3</v>
      </c>
      <c r="E1007" t="s">
        <v>3096</v>
      </c>
      <c r="F1007" t="s">
        <v>3110</v>
      </c>
      <c r="G1007" t="s">
        <v>1088</v>
      </c>
      <c r="H1007" s="520">
        <v>6</v>
      </c>
      <c r="I1007" s="304">
        <v>3.33429643410045</v>
      </c>
      <c r="J1007" s="65">
        <v>2.95129275462455</v>
      </c>
      <c r="K1007" s="157">
        <v>3.0006974769516899</v>
      </c>
      <c r="L1007" s="1917">
        <v>4.4459128516301298</v>
      </c>
      <c r="M1007" s="838">
        <v>4.7673930156029103</v>
      </c>
      <c r="N1007" s="1090">
        <v>4.8545231885576197</v>
      </c>
      <c r="O1007" s="1172">
        <v>3.8011357016498</v>
      </c>
      <c r="P1007" s="662">
        <v>3.6735242593954198</v>
      </c>
      <c r="Q1007" s="2055">
        <v>3.4798769840181301</v>
      </c>
      <c r="R1007" s="675">
        <v>6.5696870815947204</v>
      </c>
      <c r="S1007" s="586">
        <v>6.6658028270897702</v>
      </c>
      <c r="T1007" s="1098">
        <v>6.5879102274513297</v>
      </c>
    </row>
    <row r="1008" spans="1:20">
      <c r="A1008" t="s">
        <v>3111</v>
      </c>
      <c r="B1008" s="6" t="str">
        <f>HYPERLINK("http://www.ncbi.nlm.nih.gov/gene/75033", "75033")</f>
        <v>75033</v>
      </c>
      <c r="C1008" s="6" t="str">
        <f>HYPERLINK("http://www.ncbi.nlm.nih.gov/gene/101928601", "101928601")</f>
        <v>101928601</v>
      </c>
      <c r="D1008" t="str">
        <f>"Mei4"</f>
        <v>Mei4</v>
      </c>
      <c r="E1008" t="s">
        <v>3112</v>
      </c>
      <c r="F1008" t="s">
        <v>3097</v>
      </c>
      <c r="H1008" s="520">
        <v>6</v>
      </c>
      <c r="I1008" s="27">
        <v>3.1801125941655699</v>
      </c>
      <c r="J1008" s="321">
        <v>2.9196377958761</v>
      </c>
      <c r="K1008" s="233">
        <v>2.9740825367640902</v>
      </c>
      <c r="L1008" s="2169">
        <v>3.9860608163149802</v>
      </c>
      <c r="M1008" s="720">
        <v>4.0880884099292301</v>
      </c>
      <c r="N1008" s="778">
        <v>4.1647520958382103</v>
      </c>
      <c r="O1008" s="1089">
        <v>3.2280343901451398</v>
      </c>
      <c r="P1008" s="554">
        <v>3.4318639672263198</v>
      </c>
      <c r="Q1008" s="2093">
        <v>3.2366341786480399</v>
      </c>
      <c r="R1008" s="666">
        <v>5.7411899580553696</v>
      </c>
      <c r="S1008" s="602">
        <v>5.8840729164422099</v>
      </c>
      <c r="T1008" s="1175">
        <v>5.6428099193699399</v>
      </c>
    </row>
    <row r="1009" spans="1:20">
      <c r="A1009" t="s">
        <v>3098</v>
      </c>
      <c r="B1009" s="6" t="str">
        <f>HYPERLINK("http://www.ncbi.nlm.nih.gov/gene/67972", "67972")</f>
        <v>67972</v>
      </c>
      <c r="C1009" s="6" t="str">
        <f>HYPERLINK("http://www.ncbi.nlm.nih.gov/gene/490", "490")</f>
        <v>490</v>
      </c>
      <c r="D1009" t="str">
        <f>"Atp2b1"</f>
        <v>Atp2b1</v>
      </c>
      <c r="E1009" t="s">
        <v>3099</v>
      </c>
      <c r="F1009" t="s">
        <v>3100</v>
      </c>
      <c r="G1009" t="s">
        <v>3101</v>
      </c>
      <c r="H1009" s="520">
        <v>6</v>
      </c>
      <c r="I1009" s="221">
        <v>8.7625841253784706</v>
      </c>
      <c r="J1009" s="135">
        <v>8.7418717593978403</v>
      </c>
      <c r="K1009" s="248">
        <v>8.7785583648347707</v>
      </c>
      <c r="L1009" s="1842">
        <v>9.3824013535881008</v>
      </c>
      <c r="M1009" s="836">
        <v>9.3808578045138908</v>
      </c>
      <c r="N1009" s="950">
        <v>9.5236577275551006</v>
      </c>
      <c r="O1009" s="1499">
        <v>8.8402133312577291</v>
      </c>
      <c r="P1009" s="688">
        <v>8.8894808464121997</v>
      </c>
      <c r="Q1009" s="2245">
        <v>8.957403357315</v>
      </c>
      <c r="R1009" s="811">
        <v>10.278805601234501</v>
      </c>
      <c r="S1009" s="811">
        <v>10.277559826132</v>
      </c>
      <c r="T1009" s="1084">
        <v>10.1948240547766</v>
      </c>
    </row>
    <row r="1010" spans="1:20">
      <c r="A1010" t="s">
        <v>3102</v>
      </c>
      <c r="B1010" s="6" t="str">
        <f>HYPERLINK("http://www.ncbi.nlm.nih.gov/gene/234515", "234515")</f>
        <v>234515</v>
      </c>
      <c r="C1010" s="6" t="str">
        <f>HYPERLINK("http://www.ncbi.nlm.nih.gov/gene/8821", "8821")</f>
        <v>8821</v>
      </c>
      <c r="D1010" t="str">
        <f>"Inpp4b"</f>
        <v>Inpp4b</v>
      </c>
      <c r="E1010" t="s">
        <v>3103</v>
      </c>
      <c r="F1010" t="s">
        <v>3104</v>
      </c>
      <c r="G1010" t="s">
        <v>1435</v>
      </c>
      <c r="H1010" s="520">
        <v>6</v>
      </c>
      <c r="I1010" s="72">
        <v>4.6986881640059996</v>
      </c>
      <c r="J1010" s="68">
        <v>4.6863199209444</v>
      </c>
      <c r="K1010" s="99">
        <v>4.7635811071129499</v>
      </c>
      <c r="L1010" s="2574">
        <v>5.2943179257979303</v>
      </c>
      <c r="M1010" s="920">
        <v>5.0428539052565498</v>
      </c>
      <c r="N1010" s="553">
        <v>5.6745518353069997</v>
      </c>
      <c r="O1010" s="1596">
        <v>4.3627688641124598</v>
      </c>
      <c r="P1010" s="1169">
        <v>4.06029762176499</v>
      </c>
      <c r="Q1010" s="2575">
        <v>4.1933114573891004</v>
      </c>
      <c r="R1010" s="858">
        <v>5.6256074530862099</v>
      </c>
      <c r="S1010" s="1157">
        <v>5.7074808941694801</v>
      </c>
      <c r="T1010" s="1238">
        <v>5.4771493697909097</v>
      </c>
    </row>
    <row r="1011" spans="1:20">
      <c r="A1011" t="s">
        <v>3105</v>
      </c>
      <c r="B1011" s="6" t="str">
        <f>HYPERLINK("http://www.ncbi.nlm.nih.gov/gene/13593", "13593")</f>
        <v>13593</v>
      </c>
      <c r="C1011" s="6" t="str">
        <f>HYPERLINK("http://www.ncbi.nlm.nih.gov/gene/253738", "253738")</f>
        <v>253738</v>
      </c>
      <c r="D1011" t="str">
        <f>"Ebf3"</f>
        <v>Ebf3</v>
      </c>
      <c r="E1011" t="s">
        <v>3106</v>
      </c>
      <c r="F1011" t="s">
        <v>3126</v>
      </c>
      <c r="H1011" s="520">
        <v>6</v>
      </c>
      <c r="I1011" s="36">
        <v>7.5161866835852802</v>
      </c>
      <c r="J1011" s="47">
        <v>7.5530141483083604</v>
      </c>
      <c r="K1011" s="125">
        <v>7.6135485223700901</v>
      </c>
      <c r="L1011" s="2576">
        <v>8.1638466732891306</v>
      </c>
      <c r="M1011" s="962">
        <v>8.1987095681349995</v>
      </c>
      <c r="N1011" s="945">
        <v>8.1925059056463603</v>
      </c>
      <c r="O1011" s="1648">
        <v>6.9519217263065398</v>
      </c>
      <c r="P1011" s="1591">
        <v>7.1122479024138201</v>
      </c>
      <c r="Q1011" s="2577">
        <v>6.86053392016718</v>
      </c>
      <c r="R1011" s="904">
        <v>8.4001084762142302</v>
      </c>
      <c r="S1011" s="704">
        <v>8.2960343002151902</v>
      </c>
      <c r="T1011" s="1183">
        <v>8.3728943684696002</v>
      </c>
    </row>
    <row r="1012" spans="1:20">
      <c r="A1012" t="s">
        <v>3127</v>
      </c>
      <c r="B1012" s="6" t="str">
        <f>HYPERLINK("http://www.ncbi.nlm.nih.gov/gene/76438", "76438")</f>
        <v>76438</v>
      </c>
      <c r="C1012" s="6" t="str">
        <f>HYPERLINK("http://www.ncbi.nlm.nih.gov/gene/23180", "23180")</f>
        <v>23180</v>
      </c>
      <c r="D1012" t="str">
        <f>"Rftn1"</f>
        <v>Rftn1</v>
      </c>
      <c r="E1012" t="s">
        <v>3128</v>
      </c>
      <c r="F1012" t="s">
        <v>3129</v>
      </c>
      <c r="H1012" s="520">
        <v>6</v>
      </c>
      <c r="I1012" s="91">
        <v>5.2812765431155304</v>
      </c>
      <c r="J1012" s="91">
        <v>5.2871920450768197</v>
      </c>
      <c r="K1012" s="54">
        <v>5.6163356358335301</v>
      </c>
      <c r="L1012" s="2540">
        <v>6.3452888045270202</v>
      </c>
      <c r="M1012" s="771">
        <v>6.4813532527487201</v>
      </c>
      <c r="N1012" s="536">
        <v>6.56389323007215</v>
      </c>
      <c r="O1012" s="1650">
        <v>4.7822042291481202</v>
      </c>
      <c r="P1012" s="1073">
        <v>4.9697488754025203</v>
      </c>
      <c r="Q1012" s="2578">
        <v>4.3771030686815298</v>
      </c>
      <c r="R1012" s="1082">
        <v>6.8240149850230702</v>
      </c>
      <c r="S1012" s="1082">
        <v>6.8241785923757501</v>
      </c>
      <c r="T1012" s="1652">
        <v>6.8134139137087004</v>
      </c>
    </row>
    <row r="1013" spans="1:20">
      <c r="A1013" t="s">
        <v>3130</v>
      </c>
      <c r="B1013" s="6" t="str">
        <f>HYPERLINK("http://www.ncbi.nlm.nih.gov/gene/12671", "12671")</f>
        <v>12671</v>
      </c>
      <c r="C1013" s="6" t="str">
        <f>HYPERLINK("http://www.ncbi.nlm.nih.gov/gene/1131", "1131")</f>
        <v>1131</v>
      </c>
      <c r="D1013" t="str">
        <f>"Chrm3"</f>
        <v>Chrm3</v>
      </c>
      <c r="E1013" t="s">
        <v>3131</v>
      </c>
      <c r="F1013" t="s">
        <v>3107</v>
      </c>
      <c r="G1013" t="s">
        <v>3108</v>
      </c>
      <c r="H1013" s="520">
        <v>6</v>
      </c>
      <c r="I1013" s="91">
        <v>3.2429079872108102</v>
      </c>
      <c r="J1013" s="99">
        <v>3.4162289467050901</v>
      </c>
      <c r="K1013" s="41">
        <v>3.3132287446254201</v>
      </c>
      <c r="L1013" s="1970">
        <v>4.0298367735995404</v>
      </c>
      <c r="M1013" s="938">
        <v>4.1612970554079398</v>
      </c>
      <c r="N1013" s="761">
        <v>4.4248134529579302</v>
      </c>
      <c r="O1013" s="1357">
        <v>3.0606199399546599</v>
      </c>
      <c r="P1013" s="1653">
        <v>2.7784705866790498</v>
      </c>
      <c r="Q1013" s="2579">
        <v>2.70287608085982</v>
      </c>
      <c r="R1013" s="946">
        <v>4.0013912499123299</v>
      </c>
      <c r="S1013" s="934">
        <v>4.1245993145804798</v>
      </c>
      <c r="T1013" s="1183">
        <v>4.2673512982930504</v>
      </c>
    </row>
    <row r="1014" spans="1:20">
      <c r="A1014" t="s">
        <v>3109</v>
      </c>
      <c r="B1014" s="6" t="str">
        <f>HYPERLINK("http://www.ncbi.nlm.nih.gov/gene/381217", "381217")</f>
        <v>381217</v>
      </c>
      <c r="C1014" s="6" t="str">
        <f>HYPERLINK("http://www.ncbi.nlm.nih.gov/gene/9413", "9413")</f>
        <v>9413</v>
      </c>
      <c r="D1014" t="str">
        <f>"Fam189a2"</f>
        <v>Fam189a2</v>
      </c>
      <c r="E1014" t="s">
        <v>3113</v>
      </c>
      <c r="F1014" t="s">
        <v>90</v>
      </c>
      <c r="H1014" s="520">
        <v>6</v>
      </c>
      <c r="I1014" s="111">
        <v>4.44985712071888</v>
      </c>
      <c r="J1014" s="182">
        <v>4.3521883931918204</v>
      </c>
      <c r="K1014" s="105">
        <v>4.3952808422349996</v>
      </c>
      <c r="L1014" s="2510">
        <v>5.7411012916474604</v>
      </c>
      <c r="M1014" s="973">
        <v>5.4270003649558003</v>
      </c>
      <c r="N1014" s="952">
        <v>5.3351377608200101</v>
      </c>
      <c r="O1014" s="1655">
        <v>3.6787869510745601</v>
      </c>
      <c r="P1014" s="1594">
        <v>3.6895521735137899</v>
      </c>
      <c r="Q1014" s="2433">
        <v>3.9530543024171001</v>
      </c>
      <c r="R1014" s="553">
        <v>5.8135017282335202</v>
      </c>
      <c r="S1014" s="542">
        <v>5.6791907325033897</v>
      </c>
      <c r="T1014" s="1656">
        <v>5.3993176743640197</v>
      </c>
    </row>
    <row r="1015" spans="1:20">
      <c r="A1015" t="s">
        <v>3114</v>
      </c>
      <c r="B1015" s="6" t="str">
        <f>HYPERLINK("http://www.ncbi.nlm.nih.gov/gene/329154", "329154")</f>
        <v>329154</v>
      </c>
      <c r="C1015" s="6" t="str">
        <f>HYPERLINK("http://www.ncbi.nlm.nih.gov/gene/91526", "91526")</f>
        <v>91526</v>
      </c>
      <c r="D1015" t="str">
        <f>"Ankrd44"</f>
        <v>Ankrd44</v>
      </c>
      <c r="E1015" t="s">
        <v>3115</v>
      </c>
      <c r="F1015" t="s">
        <v>90</v>
      </c>
      <c r="H1015" s="520">
        <v>6</v>
      </c>
      <c r="I1015" s="62">
        <v>7.2464052744474001</v>
      </c>
      <c r="J1015" s="181">
        <v>6.9890508874604</v>
      </c>
      <c r="K1015" s="28">
        <v>7.2523162673359902</v>
      </c>
      <c r="L1015" s="2580">
        <v>8.0482398446091992</v>
      </c>
      <c r="M1015" s="975">
        <v>7.9804961498871796</v>
      </c>
      <c r="N1015" s="542">
        <v>8.1257443286322104</v>
      </c>
      <c r="O1015" s="1577">
        <v>6.8753817640446497</v>
      </c>
      <c r="P1015" s="1556">
        <v>6.8083524269037401</v>
      </c>
      <c r="Q1015" s="2145">
        <v>6.88650239972349</v>
      </c>
      <c r="R1015" s="590">
        <v>8.3204760075434692</v>
      </c>
      <c r="S1015" s="974">
        <v>7.9152907045757601</v>
      </c>
      <c r="T1015" s="943">
        <v>7.9493316227109698</v>
      </c>
    </row>
    <row r="1016" spans="1:20">
      <c r="A1016" t="s">
        <v>3116</v>
      </c>
      <c r="B1016" s="6" t="str">
        <f>HYPERLINK("http://www.ncbi.nlm.nih.gov/gene/140795", "140795")</f>
        <v>140795</v>
      </c>
      <c r="C1016" s="6" t="str">
        <f>HYPERLINK("http://www.ncbi.nlm.nih.gov/gene/9934", "9934")</f>
        <v>9934</v>
      </c>
      <c r="D1016" t="str">
        <f>"P2ry14"</f>
        <v>P2ry14</v>
      </c>
      <c r="E1016" t="s">
        <v>3117</v>
      </c>
      <c r="F1016" t="s">
        <v>3118</v>
      </c>
      <c r="G1016" t="s">
        <v>106</v>
      </c>
      <c r="H1016" s="520">
        <v>6</v>
      </c>
      <c r="I1016" s="59">
        <v>2.7733981068762699</v>
      </c>
      <c r="J1016" s="81">
        <v>2.7290092725624602</v>
      </c>
      <c r="K1016" s="195">
        <v>2.58749371289831</v>
      </c>
      <c r="L1016" s="2505">
        <v>4.2622909273100298</v>
      </c>
      <c r="M1016" s="967">
        <v>4.2884355632804096</v>
      </c>
      <c r="N1016" s="1475">
        <v>4.1484485137454596</v>
      </c>
      <c r="O1016" s="1571">
        <v>2.4370168891579098</v>
      </c>
      <c r="P1016" s="1591">
        <v>2.3421485778781901</v>
      </c>
      <c r="Q1016" s="2569">
        <v>2.4118619618425701</v>
      </c>
      <c r="R1016" s="875">
        <v>3.8572522425827902</v>
      </c>
      <c r="S1016" s="558">
        <v>4.6918311683900598</v>
      </c>
      <c r="T1016" s="1231">
        <v>4.4372237048440404</v>
      </c>
    </row>
    <row r="1017" spans="1:20">
      <c r="A1017" t="s">
        <v>3119</v>
      </c>
      <c r="B1017" s="6" t="str">
        <f>HYPERLINK("http://www.ncbi.nlm.nih.gov/gene/225266", "225266")</f>
        <v>225266</v>
      </c>
      <c r="C1017" s="6" t="str">
        <f>HYPERLINK("http://www.ncbi.nlm.nih.gov/gene/57565", "57565")</f>
        <v>57565</v>
      </c>
      <c r="D1017" t="str">
        <f>"Klhl14"</f>
        <v>Klhl14</v>
      </c>
      <c r="E1017" t="s">
        <v>3120</v>
      </c>
      <c r="F1017" t="s">
        <v>3121</v>
      </c>
      <c r="H1017" s="520">
        <v>6</v>
      </c>
      <c r="I1017" s="64">
        <v>3.2503246363802698</v>
      </c>
      <c r="J1017" s="23">
        <v>3.2764792117046699</v>
      </c>
      <c r="K1017" s="206">
        <v>3.0011856011586802</v>
      </c>
      <c r="L1017" s="1970">
        <v>5.1284819326892697</v>
      </c>
      <c r="M1017" s="951">
        <v>5.1066600452401998</v>
      </c>
      <c r="N1017" s="774">
        <v>5.7336961821895898</v>
      </c>
      <c r="O1017" s="1640">
        <v>2.7928787481216002</v>
      </c>
      <c r="P1017" s="992">
        <v>3.2177162345497399</v>
      </c>
      <c r="Q1017" s="2316">
        <v>3.1048544683900601</v>
      </c>
      <c r="R1017" s="963">
        <v>5.4858008178929296</v>
      </c>
      <c r="S1017" s="1252">
        <v>5.9827033643933998</v>
      </c>
      <c r="T1017" s="1657">
        <v>5.4155470232392497</v>
      </c>
    </row>
    <row r="1018" spans="1:20">
      <c r="A1018" t="s">
        <v>3122</v>
      </c>
      <c r="B1018" s="6" t="str">
        <f>HYPERLINK("http://www.ncbi.nlm.nih.gov/gene/104798", "104798")</f>
        <v>104798</v>
      </c>
      <c r="C1018" s="6" t="str">
        <f>HYPERLINK("http://www.ncbi.nlm.nih.gov/gene/", "")</f>
        <v/>
      </c>
      <c r="D1018" t="str">
        <f>"E030019B13Rik"</f>
        <v>E030019B13Rik</v>
      </c>
      <c r="E1018" t="s">
        <v>3123</v>
      </c>
      <c r="H1018" s="520">
        <v>6</v>
      </c>
      <c r="I1018" s="24">
        <v>4.4961068862300202</v>
      </c>
      <c r="J1018" s="154">
        <v>4.6633857813726003</v>
      </c>
      <c r="K1018" s="123">
        <v>4.4159733772755096</v>
      </c>
      <c r="L1018" s="2527">
        <v>9.8863056068534902</v>
      </c>
      <c r="M1018" s="947">
        <v>9.9672675984277905</v>
      </c>
      <c r="N1018" s="947">
        <v>9.9579479067192995</v>
      </c>
      <c r="O1018" s="1658">
        <v>3.4606810798783298</v>
      </c>
      <c r="P1018" s="1017">
        <v>3.1926747825472699</v>
      </c>
      <c r="Q1018" s="2493">
        <v>3.27284426986024</v>
      </c>
      <c r="R1018" s="1246">
        <v>9.8706034384434798</v>
      </c>
      <c r="S1018" s="881">
        <v>9.7754920293492997</v>
      </c>
      <c r="T1018" s="1659">
        <v>9.9140928477649606</v>
      </c>
    </row>
    <row r="1019" spans="1:20">
      <c r="A1019" t="s">
        <v>3124</v>
      </c>
      <c r="B1019" s="6" t="str">
        <f>HYPERLINK("http://www.ncbi.nlm.nih.gov/gene/21869", "21869")</f>
        <v>21869</v>
      </c>
      <c r="C1019" s="6" t="str">
        <f>HYPERLINK("http://www.ncbi.nlm.nih.gov/gene/7080", "7080")</f>
        <v>7080</v>
      </c>
      <c r="D1019" t="str">
        <f>"Nkx2-1"</f>
        <v>Nkx2-1</v>
      </c>
      <c r="E1019" t="s">
        <v>3125</v>
      </c>
      <c r="F1019" t="s">
        <v>3132</v>
      </c>
      <c r="H1019" s="520">
        <v>6</v>
      </c>
      <c r="I1019" s="46">
        <v>5.3781867444768201</v>
      </c>
      <c r="J1019" s="273">
        <v>5.3096041674101597</v>
      </c>
      <c r="K1019" s="199">
        <v>4.9660358298596199</v>
      </c>
      <c r="L1019" s="2450">
        <v>9.9299406848047305</v>
      </c>
      <c r="M1019" s="1170">
        <v>9.9798174209791206</v>
      </c>
      <c r="N1019" s="855">
        <v>9.9300306928319504</v>
      </c>
      <c r="O1019" s="1640">
        <v>4.0185656957578404</v>
      </c>
      <c r="P1019" s="1550">
        <v>4.2334823633766598</v>
      </c>
      <c r="Q1019" s="2425">
        <v>4.0991388676557303</v>
      </c>
      <c r="R1019" s="926">
        <v>9.5283233488107104</v>
      </c>
      <c r="S1019" s="981">
        <v>9.5800159613029408</v>
      </c>
      <c r="T1019" s="1466">
        <v>9.6585895733395404</v>
      </c>
    </row>
    <row r="1020" spans="1:20">
      <c r="A1020" t="s">
        <v>3151</v>
      </c>
      <c r="B1020" s="6" t="str">
        <f>HYPERLINK("http://www.ncbi.nlm.nih.gov/gene/66695", "66695")</f>
        <v>66695</v>
      </c>
      <c r="C1020" s="6" t="str">
        <f>HYPERLINK("http://www.ncbi.nlm.nih.gov/gene/54829", "54829")</f>
        <v>54829</v>
      </c>
      <c r="D1020" t="str">
        <f>"Aspn"</f>
        <v>Aspn</v>
      </c>
      <c r="E1020" t="s">
        <v>3152</v>
      </c>
      <c r="F1020" t="s">
        <v>3133</v>
      </c>
      <c r="H1020" s="520">
        <v>6</v>
      </c>
      <c r="I1020" s="60">
        <v>6.0029125308940303</v>
      </c>
      <c r="J1020" s="59">
        <v>6.0822220749270803</v>
      </c>
      <c r="K1020" s="96">
        <v>6.3837404568529399</v>
      </c>
      <c r="L1020" s="2533">
        <v>7.7791085342683202</v>
      </c>
      <c r="M1020" s="1411">
        <v>7.8476308344263801</v>
      </c>
      <c r="N1020" s="614">
        <v>8.2437099784439596</v>
      </c>
      <c r="O1020" s="1149">
        <v>5.2792374741581503</v>
      </c>
      <c r="P1020" s="1556">
        <v>5.4066919341261901</v>
      </c>
      <c r="Q1020" s="2331">
        <v>5.7050975365051197</v>
      </c>
      <c r="R1020" s="975">
        <v>7.7978743204377503</v>
      </c>
      <c r="S1020" s="818">
        <v>8.0330250018257008</v>
      </c>
      <c r="T1020" s="1660">
        <v>8.0594363880130508</v>
      </c>
    </row>
    <row r="1021" spans="1:20">
      <c r="A1021" t="s">
        <v>3134</v>
      </c>
      <c r="B1021" s="6" t="str">
        <f>HYPERLINK("http://www.ncbi.nlm.nih.gov/gene/433256", "433256")</f>
        <v>433256</v>
      </c>
      <c r="C1021" s="6" t="str">
        <f>HYPERLINK("http://www.ncbi.nlm.nih.gov/gene/51703", "51703")</f>
        <v>51703</v>
      </c>
      <c r="D1021" t="str">
        <f>"Acsl5"</f>
        <v>Acsl5</v>
      </c>
      <c r="E1021" t="s">
        <v>3135</v>
      </c>
      <c r="F1021" t="s">
        <v>3136</v>
      </c>
      <c r="G1021" t="s">
        <v>334</v>
      </c>
      <c r="H1021" s="520">
        <v>6</v>
      </c>
      <c r="I1021" s="43">
        <v>5.1084069448093903</v>
      </c>
      <c r="J1021" s="228">
        <v>4.71487820386825</v>
      </c>
      <c r="K1021" s="310">
        <v>5.61814130483772</v>
      </c>
      <c r="L1021" s="2581">
        <v>6.0244507329331602</v>
      </c>
      <c r="M1021" s="887">
        <v>5.82945149905433</v>
      </c>
      <c r="N1021" s="548">
        <v>6.3062447835054698</v>
      </c>
      <c r="O1021" s="1005">
        <v>5.0233704676703299</v>
      </c>
      <c r="P1021" s="1169">
        <v>4.5625766878406901</v>
      </c>
      <c r="Q1021" s="2462">
        <v>5.0399572494497198</v>
      </c>
      <c r="R1021" s="927">
        <v>6.2051072013174302</v>
      </c>
      <c r="S1021" s="749">
        <v>6.3624694606881</v>
      </c>
      <c r="T1021" s="1652">
        <v>6.3179007585602598</v>
      </c>
    </row>
    <row r="1022" spans="1:20">
      <c r="A1022" t="s">
        <v>3137</v>
      </c>
      <c r="B1022" s="6" t="str">
        <f>HYPERLINK("http://www.ncbi.nlm.nih.gov/gene/52829", "52829")</f>
        <v>52829</v>
      </c>
      <c r="C1022" s="6" t="str">
        <f>HYPERLINK("http://www.ncbi.nlm.nih.gov/gene/286343", "286343")</f>
        <v>286343</v>
      </c>
      <c r="D1022" t="str">
        <f>"D4Bwg0951e"</f>
        <v>D4Bwg0951e</v>
      </c>
      <c r="E1022" t="s">
        <v>3138</v>
      </c>
      <c r="H1022" s="520">
        <v>6</v>
      </c>
      <c r="I1022" s="26">
        <v>5.74557399596004</v>
      </c>
      <c r="J1022" s="290">
        <v>5.3303989154779199</v>
      </c>
      <c r="K1022" s="99">
        <v>5.9251573845228496</v>
      </c>
      <c r="L1022" s="2581">
        <v>6.9173514351805396</v>
      </c>
      <c r="M1022" s="1248">
        <v>7.0238995828281103</v>
      </c>
      <c r="N1022" s="963">
        <v>7.21421119434532</v>
      </c>
      <c r="O1022" s="1554">
        <v>5.0943944106779799</v>
      </c>
      <c r="P1022" s="1285">
        <v>4.7703535073807499</v>
      </c>
      <c r="Q1022" s="2318">
        <v>5.3685887697482197</v>
      </c>
      <c r="R1022" s="842">
        <v>6.9221890603001404</v>
      </c>
      <c r="S1022" s="1071">
        <v>7.5215813395426299</v>
      </c>
      <c r="T1022" s="1661">
        <v>7.4246700029936896</v>
      </c>
    </row>
    <row r="1023" spans="1:20">
      <c r="A1023" t="s">
        <v>3139</v>
      </c>
      <c r="B1023" s="6" t="str">
        <f>HYPERLINK("http://www.ncbi.nlm.nih.gov/gene/20230", "20230")</f>
        <v>20230</v>
      </c>
      <c r="C1023" s="6" t="str">
        <f>HYPERLINK("http://www.ncbi.nlm.nih.gov/gene/6304", "6304")</f>
        <v>6304</v>
      </c>
      <c r="D1023" t="str">
        <f>"Satb1"</f>
        <v>Satb1</v>
      </c>
      <c r="E1023" t="s">
        <v>3140</v>
      </c>
      <c r="F1023" t="s">
        <v>3141</v>
      </c>
      <c r="H1023" s="520">
        <v>6</v>
      </c>
      <c r="I1023" s="83">
        <v>6.4073472451010902</v>
      </c>
      <c r="J1023" s="135">
        <v>6.1392101383936701</v>
      </c>
      <c r="K1023" s="41">
        <v>6.4004888320317601</v>
      </c>
      <c r="L1023" s="2582">
        <v>6.9768752011768997</v>
      </c>
      <c r="M1023" s="934">
        <v>7.1514452209221302</v>
      </c>
      <c r="N1023" s="1170">
        <v>7.2663088997265204</v>
      </c>
      <c r="O1023" s="1662">
        <v>5.97080279978465</v>
      </c>
      <c r="P1023" s="1563">
        <v>5.9357893761891001</v>
      </c>
      <c r="Q1023" s="2470">
        <v>6.1839830228923001</v>
      </c>
      <c r="R1023" s="618">
        <v>7.2921129698572003</v>
      </c>
      <c r="S1023" s="1135">
        <v>7.3597021780064704</v>
      </c>
      <c r="T1023" s="1238">
        <v>7.1750472700140904</v>
      </c>
    </row>
    <row r="1024" spans="1:20">
      <c r="A1024" t="s">
        <v>3142</v>
      </c>
      <c r="B1024" s="6" t="str">
        <f>HYPERLINK("http://www.ncbi.nlm.nih.gov/gene/15114", "15114")</f>
        <v>15114</v>
      </c>
      <c r="C1024" s="6" t="str">
        <f>HYPERLINK("http://www.ncbi.nlm.nih.gov/gene/9001", "9001")</f>
        <v>9001</v>
      </c>
      <c r="D1024" t="str">
        <f>"Hap1"</f>
        <v>Hap1</v>
      </c>
      <c r="E1024" t="s">
        <v>3143</v>
      </c>
      <c r="F1024" t="s">
        <v>3144</v>
      </c>
      <c r="G1024" t="s">
        <v>3145</v>
      </c>
      <c r="H1024" s="520">
        <v>6</v>
      </c>
      <c r="I1024" s="68">
        <v>4.3331172439992098</v>
      </c>
      <c r="J1024" s="146">
        <v>4.4146842843523304</v>
      </c>
      <c r="K1024" s="299">
        <v>4.0697982141039697</v>
      </c>
      <c r="L1024" s="2492">
        <v>5.2294846792691603</v>
      </c>
      <c r="M1024" s="916">
        <v>4.7011740907985198</v>
      </c>
      <c r="N1024" s="775">
        <v>4.8713199677752597</v>
      </c>
      <c r="O1024" s="1089">
        <v>4.2091844360134303</v>
      </c>
      <c r="P1024" s="1321">
        <v>3.96100218012712</v>
      </c>
      <c r="Q1024" s="2579">
        <v>3.78759137544129</v>
      </c>
      <c r="R1024" s="1233">
        <v>5.1531051943331496</v>
      </c>
      <c r="S1024" s="558">
        <v>5.2983588606458198</v>
      </c>
      <c r="T1024" s="948">
        <v>4.97083666631206</v>
      </c>
    </row>
    <row r="1025" spans="1:20">
      <c r="A1025" t="s">
        <v>3146</v>
      </c>
      <c r="B1025" s="6" t="str">
        <f>HYPERLINK("http://www.ncbi.nlm.nih.gov/gene/232146", "232146")</f>
        <v>232146</v>
      </c>
      <c r="C1025" s="6" t="str">
        <f>HYPERLINK("http://www.ncbi.nlm.nih.gov/gene/84141", "84141")</f>
        <v>84141</v>
      </c>
      <c r="D1025" t="str">
        <f>"Fam176a"</f>
        <v>Fam176a</v>
      </c>
      <c r="E1025" t="s">
        <v>3147</v>
      </c>
      <c r="F1025" t="s">
        <v>3148</v>
      </c>
      <c r="H1025" s="520">
        <v>6</v>
      </c>
      <c r="I1025" s="46">
        <v>4.4306473704524496</v>
      </c>
      <c r="J1025" s="155">
        <v>4.72951894383701</v>
      </c>
      <c r="K1025" s="110">
        <v>4.5933498509669599</v>
      </c>
      <c r="L1025" s="2021">
        <v>5.0491793643649503</v>
      </c>
      <c r="M1025" s="739">
        <v>4.9758212266276098</v>
      </c>
      <c r="N1025" s="945">
        <v>5.30124642779528</v>
      </c>
      <c r="O1025" s="1196">
        <v>4.6964181432818703</v>
      </c>
      <c r="P1025" s="1584">
        <v>4.0185437091882701</v>
      </c>
      <c r="Q1025" s="2583">
        <v>3.6700708464660301</v>
      </c>
      <c r="R1025" s="858">
        <v>5.5346442876737401</v>
      </c>
      <c r="S1025" s="919">
        <v>5.5712460442819403</v>
      </c>
      <c r="T1025" s="1171">
        <v>5.5931224172389902</v>
      </c>
    </row>
    <row r="1026" spans="1:20">
      <c r="A1026" t="s">
        <v>3149</v>
      </c>
      <c r="B1026" s="6" t="str">
        <f>HYPERLINK("http://www.ncbi.nlm.nih.gov/gene/99586", "99586")</f>
        <v>99586</v>
      </c>
      <c r="C1026" s="6" t="str">
        <f>HYPERLINK("http://www.ncbi.nlm.nih.gov/gene/1806", "1806")</f>
        <v>1806</v>
      </c>
      <c r="D1026" t="str">
        <f>"Dpyd"</f>
        <v>Dpyd</v>
      </c>
      <c r="E1026" t="s">
        <v>3150</v>
      </c>
      <c r="F1026" t="s">
        <v>3153</v>
      </c>
      <c r="G1026" t="s">
        <v>3154</v>
      </c>
      <c r="H1026" s="520">
        <v>6</v>
      </c>
      <c r="I1026" s="53">
        <v>4.0448977587250203</v>
      </c>
      <c r="J1026" s="199">
        <v>3.79263259540605</v>
      </c>
      <c r="K1026" s="79">
        <v>4.0814877909984402</v>
      </c>
      <c r="L1026" s="2581">
        <v>5.2707952022295101</v>
      </c>
      <c r="M1026" s="937">
        <v>5.20010715646682</v>
      </c>
      <c r="N1026" s="947">
        <v>5.5964343144280502</v>
      </c>
      <c r="O1026" s="1077">
        <v>3.7027593332769402</v>
      </c>
      <c r="P1026" s="722">
        <v>3.5139315970001102</v>
      </c>
      <c r="Q1026" s="2584">
        <v>3.1163513398649498</v>
      </c>
      <c r="R1026" s="818">
        <v>5.60756929463333</v>
      </c>
      <c r="S1026" s="1237">
        <v>5.7951902504314203</v>
      </c>
      <c r="T1026" s="1008">
        <v>5.7647411355312803</v>
      </c>
    </row>
    <row r="1027" spans="1:20">
      <c r="A1027" t="s">
        <v>3155</v>
      </c>
      <c r="B1027" s="6" t="str">
        <f>HYPERLINK("http://www.ncbi.nlm.nih.gov/gene/13869", "13869")</f>
        <v>13869</v>
      </c>
      <c r="C1027" s="6" t="str">
        <f>HYPERLINK("http://www.ncbi.nlm.nih.gov/gene/2066", "2066")</f>
        <v>2066</v>
      </c>
      <c r="D1027" t="str">
        <f>"Erbb4"</f>
        <v>Erbb4</v>
      </c>
      <c r="E1027" t="s">
        <v>3156</v>
      </c>
      <c r="F1027" t="s">
        <v>3157</v>
      </c>
      <c r="G1027" t="s">
        <v>2551</v>
      </c>
      <c r="H1027" s="520">
        <v>6</v>
      </c>
      <c r="I1027" s="27">
        <v>3.64452121013271</v>
      </c>
      <c r="J1027" s="321">
        <v>3.4560339019528898</v>
      </c>
      <c r="K1027" s="59">
        <v>3.7124068040335301</v>
      </c>
      <c r="L1027" s="2585">
        <v>4.7136038546896701</v>
      </c>
      <c r="M1027" s="732">
        <v>4.4704199482757296</v>
      </c>
      <c r="N1027" s="947">
        <v>5.0422832728857703</v>
      </c>
      <c r="O1027" s="1102">
        <v>3.8428724940543</v>
      </c>
      <c r="P1027" s="722">
        <v>3.3661804785401301</v>
      </c>
      <c r="Q1027" s="2575">
        <v>3.2168203209069599</v>
      </c>
      <c r="R1027" s="1120">
        <v>5.1884553881531401</v>
      </c>
      <c r="S1027" s="1233">
        <v>5.13091466608092</v>
      </c>
      <c r="T1027" s="1205">
        <v>5.3433401819188999</v>
      </c>
    </row>
    <row r="1028" spans="1:20">
      <c r="A1028" t="s">
        <v>3183</v>
      </c>
      <c r="B1028" s="6" t="str">
        <f>HYPERLINK("http://www.ncbi.nlm.nih.gov/gene/433926", "433926")</f>
        <v>433926</v>
      </c>
      <c r="C1028" s="6" t="str">
        <f>HYPERLINK("http://www.ncbi.nlm.nih.gov/gene/23507", "23507")</f>
        <v>23507</v>
      </c>
      <c r="D1028" t="str">
        <f>"Lrrc8b"</f>
        <v>Lrrc8b</v>
      </c>
      <c r="E1028" t="s">
        <v>3184</v>
      </c>
      <c r="F1028" t="s">
        <v>37</v>
      </c>
      <c r="H1028" s="520">
        <v>6</v>
      </c>
      <c r="I1028" s="242">
        <v>6.1788658976046396</v>
      </c>
      <c r="J1028" s="69">
        <v>6.0757009789930301</v>
      </c>
      <c r="K1028" s="302">
        <v>6.3933728576704203</v>
      </c>
      <c r="L1028" s="2006">
        <v>6.2366440402490104</v>
      </c>
      <c r="M1028" s="1267">
        <v>6.4640988517112001</v>
      </c>
      <c r="N1028" s="844">
        <v>6.7728561251213302</v>
      </c>
      <c r="O1028" s="1146">
        <v>5.3231248156529896</v>
      </c>
      <c r="P1028" s="1664">
        <v>5.1491350127893698</v>
      </c>
      <c r="Q1028" s="2586">
        <v>5.0395212412287602</v>
      </c>
      <c r="R1028" s="742">
        <v>7.1318557179775102</v>
      </c>
      <c r="S1028" s="559">
        <v>7.1589013562549804</v>
      </c>
      <c r="T1028" s="1660">
        <v>6.9897286350867196</v>
      </c>
    </row>
    <row r="1029" spans="1:20">
      <c r="A1029" t="s">
        <v>3185</v>
      </c>
      <c r="B1029" s="6" t="str">
        <f>HYPERLINK("http://www.ncbi.nlm.nih.gov/gene/239435", "239435")</f>
        <v>239435</v>
      </c>
      <c r="C1029" s="6" t="str">
        <f>HYPERLINK("http://www.ncbi.nlm.nih.gov/gene/441376", "441376")</f>
        <v>441376</v>
      </c>
      <c r="D1029" t="str">
        <f>"Aard"</f>
        <v>Aard</v>
      </c>
      <c r="E1029" t="s">
        <v>3186</v>
      </c>
      <c r="F1029" t="s">
        <v>90</v>
      </c>
      <c r="H1029" s="520">
        <v>6</v>
      </c>
      <c r="I1029" s="139">
        <v>4.7911752933790899</v>
      </c>
      <c r="J1029" s="332">
        <v>5.15889550392688</v>
      </c>
      <c r="K1029" s="218">
        <v>5.0288349035938804</v>
      </c>
      <c r="L1029" s="2187">
        <v>5.2745833741699801</v>
      </c>
      <c r="M1029" s="751">
        <v>5.0839324611168601</v>
      </c>
      <c r="N1029" s="939">
        <v>5.2177827168791699</v>
      </c>
      <c r="O1029" s="1571">
        <v>4.4234562128202697</v>
      </c>
      <c r="P1029" s="1593">
        <v>4.1515933240002703</v>
      </c>
      <c r="Q1029" s="2587">
        <v>4.0976669417391003</v>
      </c>
      <c r="R1029" s="769">
        <v>5.7800249867087503</v>
      </c>
      <c r="S1029" s="761">
        <v>5.8380319519819199</v>
      </c>
      <c r="T1029" s="1644">
        <v>5.7633309538247897</v>
      </c>
    </row>
    <row r="1030" spans="1:20">
      <c r="A1030" t="s">
        <v>3187</v>
      </c>
      <c r="B1030" s="6" t="str">
        <f>HYPERLINK("http://www.ncbi.nlm.nih.gov/gene/16998", "16998")</f>
        <v>16998</v>
      </c>
      <c r="C1030" s="6" t="str">
        <f>HYPERLINK("http://www.ncbi.nlm.nih.gov/gene/4054", "4054")</f>
        <v>4054</v>
      </c>
      <c r="D1030" t="str">
        <f>"Ltbp3"</f>
        <v>Ltbp3</v>
      </c>
      <c r="E1030" t="s">
        <v>3188</v>
      </c>
      <c r="F1030" t="s">
        <v>3168</v>
      </c>
      <c r="H1030" s="520">
        <v>6</v>
      </c>
      <c r="I1030" s="156">
        <v>6.7173324164737602</v>
      </c>
      <c r="J1030" s="182">
        <v>6.7367599492445098</v>
      </c>
      <c r="K1030" s="176">
        <v>6.9090929792685101</v>
      </c>
      <c r="L1030" s="2004">
        <v>6.9842217835177598</v>
      </c>
      <c r="M1030" s="1485">
        <v>7.1634146020945604</v>
      </c>
      <c r="N1030" s="800">
        <v>7.0539418319553597</v>
      </c>
      <c r="O1030" s="1639">
        <v>6.4492927178683397</v>
      </c>
      <c r="P1030" s="1147">
        <v>6.5186932570412397</v>
      </c>
      <c r="Q1030" s="2143">
        <v>6.5156839970420899</v>
      </c>
      <c r="R1030" s="707">
        <v>7.5476609777980999</v>
      </c>
      <c r="S1030" s="1252">
        <v>7.4884737269624404</v>
      </c>
      <c r="T1030" s="1199">
        <v>7.4703740084280099</v>
      </c>
    </row>
    <row r="1031" spans="1:20">
      <c r="A1031" t="s">
        <v>3169</v>
      </c>
      <c r="B1031" s="6" t="str">
        <f>HYPERLINK("http://www.ncbi.nlm.nih.gov/gene/74318", "74318")</f>
        <v>74318</v>
      </c>
      <c r="C1031" s="6" t="str">
        <f>HYPERLINK("http://www.ncbi.nlm.nih.gov/gene/84525", "84525")</f>
        <v>84525</v>
      </c>
      <c r="D1031" t="str">
        <f>"Hopx"</f>
        <v>Hopx</v>
      </c>
      <c r="E1031" t="s">
        <v>3170</v>
      </c>
      <c r="F1031" t="s">
        <v>3158</v>
      </c>
      <c r="H1031" s="520">
        <v>6</v>
      </c>
      <c r="I1031" s="121">
        <v>4.3305426921129397</v>
      </c>
      <c r="J1031" s="305">
        <v>4.1148972818050504</v>
      </c>
      <c r="K1031" s="204">
        <v>4.22281831335577</v>
      </c>
      <c r="L1031" s="1919">
        <v>4.5864693351606398</v>
      </c>
      <c r="M1031" s="862">
        <v>5.0496887215123802</v>
      </c>
      <c r="N1031" s="658">
        <v>4.4197711230863801</v>
      </c>
      <c r="O1031" s="1667">
        <v>3.2667256248397099</v>
      </c>
      <c r="P1031" s="561">
        <v>3.8721429544161401</v>
      </c>
      <c r="Q1031" s="2588">
        <v>3.2396980650121598</v>
      </c>
      <c r="R1031" s="714">
        <v>5.5554510796315899</v>
      </c>
      <c r="S1031" s="558">
        <v>5.6787510522315898</v>
      </c>
      <c r="T1031" s="1203">
        <v>5.7180770365312101</v>
      </c>
    </row>
    <row r="1032" spans="1:20">
      <c r="A1032" t="s">
        <v>3159</v>
      </c>
      <c r="B1032" s="6" t="str">
        <f>HYPERLINK("http://www.ncbi.nlm.nih.gov/gene/17156", "17156")</f>
        <v>17156</v>
      </c>
      <c r="C1032" s="6" t="str">
        <f>HYPERLINK("http://www.ncbi.nlm.nih.gov/gene/10905", "10905")</f>
        <v>10905</v>
      </c>
      <c r="D1032" t="str">
        <f>"Man1a2"</f>
        <v>Man1a2</v>
      </c>
      <c r="E1032" t="s">
        <v>3160</v>
      </c>
      <c r="F1032" t="s">
        <v>3161</v>
      </c>
      <c r="G1032" t="s">
        <v>3162</v>
      </c>
      <c r="H1032" s="520">
        <v>6</v>
      </c>
      <c r="I1032" s="97">
        <v>7.90384429262543</v>
      </c>
      <c r="J1032" s="227">
        <v>7.8581970274921096</v>
      </c>
      <c r="K1032" s="128">
        <v>7.7650517787987896</v>
      </c>
      <c r="L1032" s="2537">
        <v>8.2463519154834799</v>
      </c>
      <c r="M1032" s="758">
        <v>8.1526916035618804</v>
      </c>
      <c r="N1032" s="1484">
        <v>8.2421058186063298</v>
      </c>
      <c r="O1032" s="1669">
        <v>7.2037591996855603</v>
      </c>
      <c r="P1032" s="1445">
        <v>7.3160882067596997</v>
      </c>
      <c r="Q1032" s="2126">
        <v>7.4081624823724201</v>
      </c>
      <c r="R1032" s="742">
        <v>8.4606843474984696</v>
      </c>
      <c r="S1032" s="858">
        <v>8.4252437990004498</v>
      </c>
      <c r="T1032" s="1495">
        <v>8.2707871720433701</v>
      </c>
    </row>
    <row r="1033" spans="1:20">
      <c r="A1033" t="s">
        <v>3163</v>
      </c>
      <c r="B1033" s="6" t="str">
        <f>HYPERLINK("http://www.ncbi.nlm.nih.gov/gene/102103", "102103")</f>
        <v>102103</v>
      </c>
      <c r="C1033" s="6" t="str">
        <f>HYPERLINK("http://www.ncbi.nlm.nih.gov/gene/57509", "57509")</f>
        <v>57509</v>
      </c>
      <c r="D1033" t="str">
        <f>"Mtus1"</f>
        <v>Mtus1</v>
      </c>
      <c r="E1033" t="s">
        <v>3164</v>
      </c>
      <c r="F1033" t="s">
        <v>3165</v>
      </c>
      <c r="H1033" s="520">
        <v>6</v>
      </c>
      <c r="I1033" s="308">
        <v>6.8761409528672104</v>
      </c>
      <c r="J1033" s="125">
        <v>6.5926393958028902</v>
      </c>
      <c r="K1033" s="190">
        <v>6.5956229475192396</v>
      </c>
      <c r="L1033" s="2581">
        <v>7.2062182239317698</v>
      </c>
      <c r="M1033" s="961">
        <v>7.1703271090245302</v>
      </c>
      <c r="N1033" s="933">
        <v>7.22857237072306</v>
      </c>
      <c r="O1033" s="1670">
        <v>5.6179553613333999</v>
      </c>
      <c r="P1033" s="1671">
        <v>5.7708632692777799</v>
      </c>
      <c r="Q1033" s="2322">
        <v>5.9440345807040798</v>
      </c>
      <c r="R1033" s="938">
        <v>7.3622132320806504</v>
      </c>
      <c r="S1033" s="1082">
        <v>7.5044831472278597</v>
      </c>
      <c r="T1033" s="1627">
        <v>7.4055301824067801</v>
      </c>
    </row>
    <row r="1034" spans="1:20">
      <c r="A1034" t="s">
        <v>3166</v>
      </c>
      <c r="B1034" s="6" t="str">
        <f>HYPERLINK("http://www.ncbi.nlm.nih.gov/gene/231549", "231549")</f>
        <v>231549</v>
      </c>
      <c r="C1034" s="6" t="str">
        <f>HYPERLINK("http://www.ncbi.nlm.nih.gov/gene/55144", "55144")</f>
        <v>55144</v>
      </c>
      <c r="D1034" t="str">
        <f>"Lrrc8d"</f>
        <v>Lrrc8d</v>
      </c>
      <c r="E1034" t="s">
        <v>3167</v>
      </c>
      <c r="F1034" t="s">
        <v>37</v>
      </c>
      <c r="H1034" s="520">
        <v>6</v>
      </c>
      <c r="I1034" s="314">
        <v>6.3328338085377602</v>
      </c>
      <c r="J1034" s="146">
        <v>5.9996737601343701</v>
      </c>
      <c r="K1034" s="247">
        <v>6.1671733341512498</v>
      </c>
      <c r="L1034" s="2559">
        <v>6.3908255493067303</v>
      </c>
      <c r="M1034" s="844">
        <v>6.6218886254980198</v>
      </c>
      <c r="N1034" s="961">
        <v>6.5462584566611701</v>
      </c>
      <c r="O1034" s="1672">
        <v>5.2358778883948096</v>
      </c>
      <c r="P1034" s="1445">
        <v>5.3415315486064898</v>
      </c>
      <c r="Q1034" s="2523">
        <v>5.3266970292222302</v>
      </c>
      <c r="R1034" s="888">
        <v>6.6677343753477798</v>
      </c>
      <c r="S1034" s="823">
        <v>6.9510317066029099</v>
      </c>
      <c r="T1034" s="1637">
        <v>6.7352312793763298</v>
      </c>
    </row>
    <row r="1035" spans="1:20">
      <c r="A1035" t="s">
        <v>3181</v>
      </c>
      <c r="B1035" s="6" t="str">
        <f>HYPERLINK("http://www.ncbi.nlm.nih.gov/gene/19091", "19091")</f>
        <v>19091</v>
      </c>
      <c r="C1035" s="6" t="str">
        <f>HYPERLINK("http://www.ncbi.nlm.nih.gov/gene/5592", "5592")</f>
        <v>5592</v>
      </c>
      <c r="D1035" t="str">
        <f>"Prkg1"</f>
        <v>Prkg1</v>
      </c>
      <c r="E1035" t="s">
        <v>3182</v>
      </c>
      <c r="F1035" t="s">
        <v>3171</v>
      </c>
      <c r="G1035" t="s">
        <v>3192</v>
      </c>
      <c r="H1035" s="520">
        <v>6</v>
      </c>
      <c r="I1035" s="474">
        <v>7.9626820488431402</v>
      </c>
      <c r="J1035" s="300">
        <v>7.7947627839141003</v>
      </c>
      <c r="K1035" s="205">
        <v>7.8041739254220701</v>
      </c>
      <c r="L1035" s="2566">
        <v>8.0745597136801699</v>
      </c>
      <c r="M1035" s="875">
        <v>8.0922811626373008</v>
      </c>
      <c r="N1035" s="1250">
        <v>8.1501825100310707</v>
      </c>
      <c r="O1035" s="1673">
        <v>6.6251976077626002</v>
      </c>
      <c r="P1035" s="1445">
        <v>6.86594092125135</v>
      </c>
      <c r="Q1035" s="2123">
        <v>6.8504225845304196</v>
      </c>
      <c r="R1035" s="1220">
        <v>8.4676004032079408</v>
      </c>
      <c r="S1035" s="818">
        <v>8.4247163438882904</v>
      </c>
      <c r="T1035" s="1238">
        <v>8.3518089128635395</v>
      </c>
    </row>
    <row r="1036" spans="1:20">
      <c r="A1036" t="s">
        <v>3193</v>
      </c>
      <c r="B1036" s="6" t="str">
        <f>HYPERLINK("http://www.ncbi.nlm.nih.gov/gene/20349", "20349")</f>
        <v>20349</v>
      </c>
      <c r="C1036" s="6" t="str">
        <f>HYPERLINK("http://www.ncbi.nlm.nih.gov/gene/9723", "9723")</f>
        <v>9723</v>
      </c>
      <c r="D1036" t="str">
        <f>"Sema3e"</f>
        <v>Sema3e</v>
      </c>
      <c r="E1036" t="s">
        <v>3194</v>
      </c>
      <c r="F1036" t="s">
        <v>3172</v>
      </c>
      <c r="G1036" t="s">
        <v>604</v>
      </c>
      <c r="H1036" s="520">
        <v>6</v>
      </c>
      <c r="I1036" s="170">
        <v>4.4566258588483203</v>
      </c>
      <c r="J1036" s="90">
        <v>4.2770018146495001</v>
      </c>
      <c r="K1036" s="134">
        <v>4.3801654015451801</v>
      </c>
      <c r="L1036" s="2120">
        <v>4.5774060584326399</v>
      </c>
      <c r="M1036" s="816">
        <v>4.68186617658953</v>
      </c>
      <c r="N1036" s="1248">
        <v>4.8714033567672503</v>
      </c>
      <c r="O1036" s="1674">
        <v>3.2426705305755799</v>
      </c>
      <c r="P1036" s="641">
        <v>4.03570683968168</v>
      </c>
      <c r="Q1036" s="2134">
        <v>3.8404572467542999</v>
      </c>
      <c r="R1036" s="1489">
        <v>5.0442644129324101</v>
      </c>
      <c r="S1036" s="1132">
        <v>5.1715675382691204</v>
      </c>
      <c r="T1036" s="948">
        <v>4.8597003626155102</v>
      </c>
    </row>
    <row r="1037" spans="1:20">
      <c r="A1037" t="s">
        <v>3173</v>
      </c>
      <c r="B1037" s="6" t="str">
        <f>HYPERLINK("http://www.ncbi.nlm.nih.gov/gene/99526", "99526")</f>
        <v>99526</v>
      </c>
      <c r="C1037" s="6" t="str">
        <f>HYPERLINK("http://www.ncbi.nlm.nih.gov/gene/54532", "54532")</f>
        <v>54532</v>
      </c>
      <c r="D1037" t="str">
        <f>"Usp53"</f>
        <v>Usp53</v>
      </c>
      <c r="E1037" t="s">
        <v>3174</v>
      </c>
      <c r="F1037" t="s">
        <v>3215</v>
      </c>
      <c r="H1037" s="521">
        <v>7</v>
      </c>
      <c r="I1037" s="238">
        <v>6.9452119459369497</v>
      </c>
      <c r="J1037" s="33">
        <v>6.8578197680593496</v>
      </c>
      <c r="K1037" s="76">
        <v>6.9563315471689604</v>
      </c>
      <c r="L1037" s="2515">
        <v>8.3568560708988002</v>
      </c>
      <c r="M1037" s="774">
        <v>8.28210175849064</v>
      </c>
      <c r="N1037" s="590">
        <v>8.5603598628423203</v>
      </c>
      <c r="O1037" s="1648">
        <v>5.1679643037322496</v>
      </c>
      <c r="P1037" s="1654">
        <v>5.0502579925571602</v>
      </c>
      <c r="Q1037" s="2494">
        <v>5.2160485332439501</v>
      </c>
      <c r="R1037" s="626">
        <v>7.10370988617011</v>
      </c>
      <c r="S1037" s="889">
        <v>7.0935414046324796</v>
      </c>
      <c r="T1037" s="817">
        <v>7.1320973978409699</v>
      </c>
    </row>
    <row r="1038" spans="1:20">
      <c r="A1038" t="s">
        <v>3216</v>
      </c>
      <c r="B1038" s="6" t="str">
        <f>HYPERLINK("http://www.ncbi.nlm.nih.gov/gene/24059", "24059")</f>
        <v>24059</v>
      </c>
      <c r="C1038" s="6" t="str">
        <f>HYPERLINK("http://www.ncbi.nlm.nih.gov/gene/6578", "6578")</f>
        <v>6578</v>
      </c>
      <c r="D1038" t="str">
        <f>"Slco2a1"</f>
        <v>Slco2a1</v>
      </c>
      <c r="E1038" t="s">
        <v>3217</v>
      </c>
      <c r="F1038" t="s">
        <v>3218</v>
      </c>
      <c r="H1038" s="521">
        <v>7</v>
      </c>
      <c r="I1038" s="401">
        <v>6.6996757484116403</v>
      </c>
      <c r="J1038" s="266">
        <v>6.3070890399841497</v>
      </c>
      <c r="K1038" s="76">
        <v>6.4477572093977003</v>
      </c>
      <c r="L1038" s="2518">
        <v>7.3653018439240796</v>
      </c>
      <c r="M1038" s="769">
        <v>7.47484280586262</v>
      </c>
      <c r="N1038" s="718">
        <v>7.6771976359683602</v>
      </c>
      <c r="O1038" s="1675">
        <v>5.2078897711486896</v>
      </c>
      <c r="P1038" s="1558">
        <v>5.1626566499092599</v>
      </c>
      <c r="Q1038" s="2589">
        <v>5.1080872240901201</v>
      </c>
      <c r="R1038" s="1243">
        <v>6.5677567914561896</v>
      </c>
      <c r="S1038" s="1251">
        <v>6.48281495473194</v>
      </c>
      <c r="T1038" s="794">
        <v>6.3186115637565496</v>
      </c>
    </row>
    <row r="1039" spans="1:20">
      <c r="A1039" t="s">
        <v>3219</v>
      </c>
      <c r="B1039" s="6" t="str">
        <f>HYPERLINK("http://www.ncbi.nlm.nih.gov/gene/100604", "100604")</f>
        <v>100604</v>
      </c>
      <c r="C1039" s="6" t="str">
        <f>HYPERLINK("http://www.ncbi.nlm.nih.gov/gene/84230", "84230")</f>
        <v>84230</v>
      </c>
      <c r="D1039" t="str">
        <f>"Lrrc8c"</f>
        <v>Lrrc8c</v>
      </c>
      <c r="E1039" t="s">
        <v>3220</v>
      </c>
      <c r="F1039" t="s">
        <v>3175</v>
      </c>
      <c r="H1039" s="521">
        <v>7</v>
      </c>
      <c r="I1039" s="344">
        <v>8.2594265639178808</v>
      </c>
      <c r="J1039" s="33">
        <v>8.0611680046828997</v>
      </c>
      <c r="K1039" s="227">
        <v>7.9199283034993897</v>
      </c>
      <c r="L1039" s="1977">
        <v>9.1003517489690999</v>
      </c>
      <c r="M1039" s="858">
        <v>9.0888277610984094</v>
      </c>
      <c r="N1039" s="614">
        <v>9.1394101435475292</v>
      </c>
      <c r="O1039" s="1676">
        <v>6.87649480961396</v>
      </c>
      <c r="P1039" s="1649">
        <v>6.6625443313777604</v>
      </c>
      <c r="Q1039" s="2122">
        <v>6.6987055804138604</v>
      </c>
      <c r="R1039" s="766">
        <v>8.4411628996273809</v>
      </c>
      <c r="S1039" s="796">
        <v>8.3484360131395494</v>
      </c>
      <c r="T1039" s="1677">
        <v>8.4399518956454695</v>
      </c>
    </row>
    <row r="1040" spans="1:20">
      <c r="A1040" t="s">
        <v>3176</v>
      </c>
      <c r="B1040" s="6" t="str">
        <f>HYPERLINK("http://www.ncbi.nlm.nih.gov/gene/234353", "234353")</f>
        <v>234353</v>
      </c>
      <c r="C1040" s="6" t="str">
        <f>HYPERLINK("http://www.ncbi.nlm.nih.gov/gene/23362", "23362")</f>
        <v>23362</v>
      </c>
      <c r="D1040" t="str">
        <f>"Psd3"</f>
        <v>Psd3</v>
      </c>
      <c r="E1040" t="s">
        <v>3177</v>
      </c>
      <c r="F1040" t="s">
        <v>3178</v>
      </c>
      <c r="G1040" t="s">
        <v>1290</v>
      </c>
      <c r="H1040" s="521">
        <v>7</v>
      </c>
      <c r="I1040" s="197">
        <v>6.5998092448036196</v>
      </c>
      <c r="J1040" s="52">
        <v>6.3835647654879102</v>
      </c>
      <c r="K1040" s="134">
        <v>6.4792164260657001</v>
      </c>
      <c r="L1040" s="1989">
        <v>7.0674916987231198</v>
      </c>
      <c r="M1040" s="774">
        <v>7.1581241386891703</v>
      </c>
      <c r="N1040" s="1071">
        <v>7.2138335167819898</v>
      </c>
      <c r="O1040" s="1590">
        <v>5.8400442872254503</v>
      </c>
      <c r="P1040" s="1653">
        <v>5.8104993751975504</v>
      </c>
      <c r="Q1040" s="2578">
        <v>5.6723305415323404</v>
      </c>
      <c r="R1040" s="1430">
        <v>6.8336530209163397</v>
      </c>
      <c r="S1040" s="875">
        <v>6.7996988684483703</v>
      </c>
      <c r="T1040" s="1506">
        <v>6.7349057593346204</v>
      </c>
    </row>
    <row r="1041" spans="1:20">
      <c r="A1041" t="s">
        <v>3179</v>
      </c>
      <c r="B1041" s="6" t="str">
        <f>HYPERLINK("http://www.ncbi.nlm.nih.gov/gene/328329", "328329")</f>
        <v>328329</v>
      </c>
      <c r="C1041" s="6" t="str">
        <f>HYPERLINK("http://www.ncbi.nlm.nih.gov/gene/375449", "375449")</f>
        <v>375449</v>
      </c>
      <c r="D1041" t="str">
        <f>"Mast4"</f>
        <v>Mast4</v>
      </c>
      <c r="E1041" t="s">
        <v>3180</v>
      </c>
      <c r="F1041" t="s">
        <v>3202</v>
      </c>
      <c r="H1041" s="521">
        <v>7</v>
      </c>
      <c r="I1041" s="230">
        <v>6.8606631769596902</v>
      </c>
      <c r="J1041" s="69">
        <v>6.6155431852068203</v>
      </c>
      <c r="K1041" s="330">
        <v>6.7492009916726996</v>
      </c>
      <c r="L1041" s="2518">
        <v>7.3551024668555502</v>
      </c>
      <c r="M1041" s="1120">
        <v>7.3879069617842701</v>
      </c>
      <c r="N1041" s="1233">
        <v>7.3490418892496603</v>
      </c>
      <c r="O1041" s="1678">
        <v>5.8848472171187201</v>
      </c>
      <c r="P1041" s="1556">
        <v>6.0279774710040996</v>
      </c>
      <c r="Q1041" s="2590">
        <v>5.8167334317739101</v>
      </c>
      <c r="R1041" s="961">
        <v>7.0701872113579798</v>
      </c>
      <c r="S1041" s="1284">
        <v>6.9959143477324996</v>
      </c>
      <c r="T1041" s="782">
        <v>6.7632107950261204</v>
      </c>
    </row>
    <row r="1042" spans="1:20">
      <c r="A1042" t="s">
        <v>3203</v>
      </c>
      <c r="B1042" s="6" t="str">
        <f>HYPERLINK("http://www.ncbi.nlm.nih.gov/gene/77018", "77018")</f>
        <v>77018</v>
      </c>
      <c r="C1042" s="6" t="str">
        <f>HYPERLINK("http://www.ncbi.nlm.nih.gov/gene/84570", "84570")</f>
        <v>84570</v>
      </c>
      <c r="D1042" t="str">
        <f>"Col25a1"</f>
        <v>Col25a1</v>
      </c>
      <c r="E1042" t="s">
        <v>3204</v>
      </c>
      <c r="F1042" t="s">
        <v>3199</v>
      </c>
      <c r="H1042" s="521">
        <v>7</v>
      </c>
      <c r="I1042" s="76">
        <v>6.8257381132180504</v>
      </c>
      <c r="J1042" s="353">
        <v>6.6012505087264302</v>
      </c>
      <c r="K1042" s="465">
        <v>6.84261065029792</v>
      </c>
      <c r="L1042" s="2500">
        <v>7.7415152004114001</v>
      </c>
      <c r="M1042" s="902">
        <v>7.73699428130797</v>
      </c>
      <c r="N1042" s="1082">
        <v>7.7137185864647</v>
      </c>
      <c r="O1042" s="1679">
        <v>5.3913218755628698</v>
      </c>
      <c r="P1042" s="1594">
        <v>5.6062682681741096</v>
      </c>
      <c r="Q1042" s="2591">
        <v>5.53881857552678</v>
      </c>
      <c r="R1042" s="825">
        <v>7.1907816281481001</v>
      </c>
      <c r="S1042" s="820">
        <v>7.1249426514501097</v>
      </c>
      <c r="T1042" s="1500">
        <v>7.0522365200554598</v>
      </c>
    </row>
    <row r="1043" spans="1:20">
      <c r="A1043" t="s">
        <v>3200</v>
      </c>
      <c r="B1043" s="6" t="str">
        <f>HYPERLINK("http://www.ncbi.nlm.nih.gov/gene/19735", "19735")</f>
        <v>19735</v>
      </c>
      <c r="C1043" s="6" t="str">
        <f>HYPERLINK("http://www.ncbi.nlm.nih.gov/gene/5997", "5997")</f>
        <v>5997</v>
      </c>
      <c r="D1043" t="str">
        <f>"Rgs2"</f>
        <v>Rgs2</v>
      </c>
      <c r="E1043" t="s">
        <v>3201</v>
      </c>
      <c r="F1043" t="s">
        <v>3189</v>
      </c>
      <c r="H1043" s="521">
        <v>7</v>
      </c>
      <c r="I1043" s="35">
        <v>7.7331144666691696</v>
      </c>
      <c r="J1043" s="141">
        <v>7.6777485876586598</v>
      </c>
      <c r="K1043" s="38">
        <v>7.96981856037364</v>
      </c>
      <c r="L1043" s="2528">
        <v>8.6578848967958599</v>
      </c>
      <c r="M1043" s="818">
        <v>8.5609512093859497</v>
      </c>
      <c r="N1043" s="548">
        <v>8.6058479568931805</v>
      </c>
      <c r="O1043" s="1680">
        <v>7.1588416549682901</v>
      </c>
      <c r="P1043" s="1073">
        <v>7.4899875117455501</v>
      </c>
      <c r="Q1043" s="2592">
        <v>7.26602794826261</v>
      </c>
      <c r="R1043" s="956">
        <v>8.3222261111645093</v>
      </c>
      <c r="S1043" s="909">
        <v>8.3868956944141004</v>
      </c>
      <c r="T1043" s="932">
        <v>8.4751526721461001</v>
      </c>
    </row>
    <row r="1044" spans="1:20">
      <c r="A1044" t="s">
        <v>3190</v>
      </c>
      <c r="B1044" s="6" t="str">
        <f>HYPERLINK("http://www.ncbi.nlm.nih.gov/gene/11305", "11305")</f>
        <v>11305</v>
      </c>
      <c r="C1044" s="6" t="str">
        <f>HYPERLINK("http://www.ncbi.nlm.nih.gov/gene/20", "20")</f>
        <v>20</v>
      </c>
      <c r="D1044" t="str">
        <f>"Abca2"</f>
        <v>Abca2</v>
      </c>
      <c r="E1044" t="s">
        <v>3191</v>
      </c>
      <c r="F1044" t="s">
        <v>3205</v>
      </c>
      <c r="G1044" t="s">
        <v>3206</v>
      </c>
      <c r="H1044" s="521">
        <v>7</v>
      </c>
      <c r="I1044" s="38">
        <v>4.51042078862847</v>
      </c>
      <c r="J1044" s="27">
        <v>4.1600479325192197</v>
      </c>
      <c r="K1044" s="121">
        <v>4.45031794041659</v>
      </c>
      <c r="L1044" s="2593">
        <v>5.0365552065270904</v>
      </c>
      <c r="M1044" s="858">
        <v>5.1296762137263503</v>
      </c>
      <c r="N1044" s="1237">
        <v>5.1613795103657596</v>
      </c>
      <c r="O1044" s="1146">
        <v>3.9171877004884101</v>
      </c>
      <c r="P1044" s="1138">
        <v>3.9018302870718098</v>
      </c>
      <c r="Q1044" s="2579">
        <v>3.77575662462311</v>
      </c>
      <c r="R1044" s="947">
        <v>5.0539978533986698</v>
      </c>
      <c r="S1044" s="862">
        <v>4.8867406446007102</v>
      </c>
      <c r="T1044" s="1616">
        <v>4.6948219975978596</v>
      </c>
    </row>
    <row r="1045" spans="1:20">
      <c r="A1045" t="s">
        <v>3207</v>
      </c>
      <c r="B1045" s="6" t="str">
        <f>HYPERLINK("http://www.ncbi.nlm.nih.gov/gene/235472", "235472")</f>
        <v>235472</v>
      </c>
      <c r="C1045" s="6" t="str">
        <f>HYPERLINK("http://www.ncbi.nlm.nih.gov/gene/283659", "283659")</f>
        <v>283659</v>
      </c>
      <c r="D1045" t="str">
        <f>"Prtg"</f>
        <v>Prtg</v>
      </c>
      <c r="E1045" t="s">
        <v>3208</v>
      </c>
      <c r="F1045" t="s">
        <v>3209</v>
      </c>
      <c r="H1045" s="521">
        <v>7</v>
      </c>
      <c r="I1045" s="45">
        <v>6.5334051928547403</v>
      </c>
      <c r="J1045" s="57">
        <v>6.3790482612191601</v>
      </c>
      <c r="K1045" s="224">
        <v>6.6107509951830101</v>
      </c>
      <c r="L1045" s="2450">
        <v>7.88048311084665</v>
      </c>
      <c r="M1045" s="855">
        <v>7.88001310739907</v>
      </c>
      <c r="N1045" s="958">
        <v>8.0179039954896201</v>
      </c>
      <c r="O1045" s="1681">
        <v>5.20182071476491</v>
      </c>
      <c r="P1045" s="1564">
        <v>5.2463143504651999</v>
      </c>
      <c r="Q1045" s="2594">
        <v>5.31517737609924</v>
      </c>
      <c r="R1045" s="1248">
        <v>7.6097258764939903</v>
      </c>
      <c r="S1045" s="801">
        <v>7.3297053605098501</v>
      </c>
      <c r="T1045" s="1490">
        <v>7.5443334845814496</v>
      </c>
    </row>
    <row r="1046" spans="1:20">
      <c r="A1046" t="s">
        <v>3210</v>
      </c>
      <c r="B1046" s="6" t="str">
        <f>HYPERLINK("http://www.ncbi.nlm.nih.gov/gene/219134", "219134")</f>
        <v>219134</v>
      </c>
      <c r="C1046" s="6" t="str">
        <f>HYPERLINK("http://www.ncbi.nlm.nih.gov/gene/387914", "387914")</f>
        <v>387914</v>
      </c>
      <c r="D1046" t="str">
        <f>"Shisa2"</f>
        <v>Shisa2</v>
      </c>
      <c r="E1046" t="s">
        <v>3211</v>
      </c>
      <c r="F1046" t="s">
        <v>3212</v>
      </c>
      <c r="H1046" s="521">
        <v>7</v>
      </c>
      <c r="I1046" s="187">
        <v>7.5764843542931404</v>
      </c>
      <c r="J1046" s="32">
        <v>7.4164861063577501</v>
      </c>
      <c r="K1046" s="57">
        <v>7.3302965238992499</v>
      </c>
      <c r="L1046" s="2544">
        <v>8.8409039951254194</v>
      </c>
      <c r="M1046" s="904">
        <v>8.8455689169475509</v>
      </c>
      <c r="N1046" s="938">
        <v>8.6171205522687409</v>
      </c>
      <c r="O1046" s="1449">
        <v>6.5036199423479397</v>
      </c>
      <c r="P1046" s="1593">
        <v>6.2056128124329604</v>
      </c>
      <c r="Q1046" s="2595">
        <v>6.1446988187679503</v>
      </c>
      <c r="R1046" s="945">
        <v>8.4774959629820295</v>
      </c>
      <c r="S1046" s="937">
        <v>8.3103189173693099</v>
      </c>
      <c r="T1046" s="1478">
        <v>8.4421121740431992</v>
      </c>
    </row>
    <row r="1047" spans="1:20">
      <c r="A1047" t="s">
        <v>3213</v>
      </c>
      <c r="B1047" s="6" t="str">
        <f>HYPERLINK("http://www.ncbi.nlm.nih.gov/gene/14389", "14389")</f>
        <v>14389</v>
      </c>
      <c r="C1047" s="6" t="str">
        <f>HYPERLINK("http://www.ncbi.nlm.nih.gov/gene/9846", "9846")</f>
        <v>9846</v>
      </c>
      <c r="D1047" t="str">
        <f>"Gab2"</f>
        <v>Gab2</v>
      </c>
      <c r="E1047" t="s">
        <v>3214</v>
      </c>
      <c r="F1047" t="s">
        <v>3195</v>
      </c>
      <c r="G1047" t="s">
        <v>3196</v>
      </c>
      <c r="H1047" s="521">
        <v>7</v>
      </c>
      <c r="I1047" s="121">
        <v>7.4013414020729904</v>
      </c>
      <c r="J1047" s="96">
        <v>7.1926767516291301</v>
      </c>
      <c r="K1047" s="110">
        <v>7.2098710574490603</v>
      </c>
      <c r="L1047" s="2508">
        <v>8.4375907335797198</v>
      </c>
      <c r="M1047" s="927">
        <v>8.4422092659430401</v>
      </c>
      <c r="N1047" s="1465">
        <v>8.3942766456517006</v>
      </c>
      <c r="O1047" s="1186">
        <v>6.3535068468456402</v>
      </c>
      <c r="P1047" s="1682">
        <v>6.2221165383463504</v>
      </c>
      <c r="Q1047" s="2321">
        <v>6.2582795936171696</v>
      </c>
      <c r="R1047" s="938">
        <v>8.4124597951815296</v>
      </c>
      <c r="S1047" s="1475">
        <v>8.3200622448904795</v>
      </c>
      <c r="T1047" s="1466">
        <v>8.4297860843012398</v>
      </c>
    </row>
    <row r="1048" spans="1:20">
      <c r="A1048" t="s">
        <v>3197</v>
      </c>
      <c r="B1048" s="6" t="str">
        <f>HYPERLINK("http://www.ncbi.nlm.nih.gov/gene/11980", "11980")</f>
        <v>11980</v>
      </c>
      <c r="C1048" s="6" t="str">
        <f>HYPERLINK("http://www.ncbi.nlm.nih.gov/gene/10396", "10396")</f>
        <v>10396</v>
      </c>
      <c r="D1048" t="str">
        <f>"Atp8a1"</f>
        <v>Atp8a1</v>
      </c>
      <c r="E1048" t="s">
        <v>3198</v>
      </c>
      <c r="F1048" t="s">
        <v>3221</v>
      </c>
      <c r="H1048" s="521">
        <v>7</v>
      </c>
      <c r="I1048" s="44">
        <v>5.4124771916403196</v>
      </c>
      <c r="J1048" s="126">
        <v>5.4183460872761904</v>
      </c>
      <c r="K1048" s="133">
        <v>5.5651475570115103</v>
      </c>
      <c r="L1048" s="2596">
        <v>6.2306074235883404</v>
      </c>
      <c r="M1048" s="771">
        <v>6.0651659831018696</v>
      </c>
      <c r="N1048" s="1237">
        <v>6.34537529157177</v>
      </c>
      <c r="O1048" s="1146">
        <v>4.8874234853865897</v>
      </c>
      <c r="P1048" s="1139">
        <v>4.7068560689464602</v>
      </c>
      <c r="Q1048" s="2589">
        <v>4.7457571928383704</v>
      </c>
      <c r="R1048" s="918">
        <v>6.2362737356380498</v>
      </c>
      <c r="S1048" s="1248">
        <v>6.0955364325643897</v>
      </c>
      <c r="T1048" s="1613">
        <v>5.9308425693097604</v>
      </c>
    </row>
    <row r="1049" spans="1:20">
      <c r="A1049" t="s">
        <v>3222</v>
      </c>
      <c r="B1049" s="6" t="str">
        <f>HYPERLINK("http://www.ncbi.nlm.nih.gov/gene/19716", "19716")</f>
        <v>19716</v>
      </c>
      <c r="C1049" s="6" t="str">
        <f>HYPERLINK("http://www.ncbi.nlm.nih.gov/gene/", "")</f>
        <v/>
      </c>
      <c r="D1049" t="str">
        <f>"Bex1"</f>
        <v>Bex1</v>
      </c>
      <c r="E1049" t="s">
        <v>3223</v>
      </c>
      <c r="F1049" t="s">
        <v>3227</v>
      </c>
      <c r="H1049" s="521">
        <v>7</v>
      </c>
      <c r="I1049" s="42">
        <v>7.3368151778055299</v>
      </c>
      <c r="J1049" s="345">
        <v>7.4234586582251803</v>
      </c>
      <c r="K1049" s="308">
        <v>7.7424137839291003</v>
      </c>
      <c r="L1049" s="2519">
        <v>8.4798071243951494</v>
      </c>
      <c r="M1049" s="951">
        <v>8.2574073860118702</v>
      </c>
      <c r="N1049" s="890">
        <v>8.4499652963607197</v>
      </c>
      <c r="O1049" s="1683">
        <v>5.9732172881823002</v>
      </c>
      <c r="P1049" s="1144">
        <v>6.0884868449286103</v>
      </c>
      <c r="Q1049" s="2595">
        <v>5.9732172881823002</v>
      </c>
      <c r="R1049" s="890">
        <v>8.4505513611918293</v>
      </c>
      <c r="S1049" s="1246">
        <v>8.5566288531054404</v>
      </c>
      <c r="T1049" s="1684">
        <v>8.2942448976914402</v>
      </c>
    </row>
    <row r="1050" spans="1:20">
      <c r="A1050" t="s">
        <v>3228</v>
      </c>
      <c r="B1050" s="6" t="str">
        <f>HYPERLINK("http://www.ncbi.nlm.nih.gov/gene/320129", "320129")</f>
        <v>320129</v>
      </c>
      <c r="C1050" s="6" t="str">
        <f>HYPERLINK("http://www.ncbi.nlm.nih.gov/gene/157", "157")</f>
        <v>157</v>
      </c>
      <c r="D1050" t="str">
        <f>"Adrbk2"</f>
        <v>Adrbk2</v>
      </c>
      <c r="E1050" t="s">
        <v>3229</v>
      </c>
      <c r="F1050" t="s">
        <v>3230</v>
      </c>
      <c r="G1050" t="s">
        <v>3231</v>
      </c>
      <c r="H1050" s="521">
        <v>7</v>
      </c>
      <c r="I1050" s="351">
        <v>5.7368575180102299</v>
      </c>
      <c r="J1050" s="42">
        <v>5.5460471524202699</v>
      </c>
      <c r="K1050" s="281">
        <v>5.85276180861272</v>
      </c>
      <c r="L1050" s="2597">
        <v>5.8246337969523001</v>
      </c>
      <c r="M1050" s="973">
        <v>6.0420402309456103</v>
      </c>
      <c r="N1050" s="930">
        <v>6.1210117608596599</v>
      </c>
      <c r="O1050" s="1685">
        <v>4.8150977082149797</v>
      </c>
      <c r="P1050" s="1671">
        <v>4.9048100376868602</v>
      </c>
      <c r="Q1050" s="2123">
        <v>4.9281525875938996</v>
      </c>
      <c r="R1050" s="737">
        <v>6.2744750609974602</v>
      </c>
      <c r="S1050" s="1305">
        <v>5.8565037091706103</v>
      </c>
      <c r="T1050" s="1686">
        <v>6.10546384708171</v>
      </c>
    </row>
    <row r="1051" spans="1:20">
      <c r="A1051" t="s">
        <v>3232</v>
      </c>
      <c r="B1051" s="6" t="str">
        <f>HYPERLINK("http://www.ncbi.nlm.nih.gov/gene/19270", "19270")</f>
        <v>19270</v>
      </c>
      <c r="C1051" s="6" t="str">
        <f>HYPERLINK("http://www.ncbi.nlm.nih.gov/gene/5793", "5793")</f>
        <v>5793</v>
      </c>
      <c r="D1051" t="str">
        <f>"Ptprg"</f>
        <v>Ptprg</v>
      </c>
      <c r="E1051" t="s">
        <v>3233</v>
      </c>
      <c r="F1051" t="s">
        <v>3234</v>
      </c>
      <c r="H1051" s="521">
        <v>7</v>
      </c>
      <c r="I1051" s="283">
        <v>7.4255730717716499</v>
      </c>
      <c r="J1051" s="300">
        <v>7.2904860694549596</v>
      </c>
      <c r="K1051" s="427">
        <v>7.3380302313980996</v>
      </c>
      <c r="L1051" s="2011">
        <v>7.6517671984067999</v>
      </c>
      <c r="M1051" s="771">
        <v>7.6291742154872102</v>
      </c>
      <c r="N1051" s="947">
        <v>7.7583200400361196</v>
      </c>
      <c r="O1051" s="1687">
        <v>6.5089588774606897</v>
      </c>
      <c r="P1051" s="1688">
        <v>6.5031506132142001</v>
      </c>
      <c r="Q1051" s="2595">
        <v>6.52888966765933</v>
      </c>
      <c r="R1051" s="848">
        <v>7.7208916713435798</v>
      </c>
      <c r="S1051" s="1414">
        <v>7.5684138458068304</v>
      </c>
      <c r="T1051" s="1529">
        <v>7.5039264703559798</v>
      </c>
    </row>
    <row r="1052" spans="1:20">
      <c r="A1052" t="s">
        <v>3235</v>
      </c>
      <c r="B1052" s="6" t="str">
        <f>HYPERLINK("http://www.ncbi.nlm.nih.gov/gene/331374", "331374")</f>
        <v>331374</v>
      </c>
      <c r="C1052" s="6" t="str">
        <f>HYPERLINK("http://www.ncbi.nlm.nih.gov/gene/139189", "139189")</f>
        <v>139189</v>
      </c>
      <c r="D1052" t="str">
        <f>"Dgkk"</f>
        <v>Dgkk</v>
      </c>
      <c r="E1052" t="s">
        <v>3236</v>
      </c>
      <c r="F1052" t="s">
        <v>3224</v>
      </c>
      <c r="H1052" s="521">
        <v>7</v>
      </c>
      <c r="I1052" s="76">
        <v>6.2365259368808497</v>
      </c>
      <c r="J1052" s="69">
        <v>5.9655605464896304</v>
      </c>
      <c r="K1052" s="197">
        <v>6.2764700594319498</v>
      </c>
      <c r="L1052" s="1987">
        <v>7.0430828477100702</v>
      </c>
      <c r="M1052" s="855">
        <v>7.1977975522540403</v>
      </c>
      <c r="N1052" s="548">
        <v>7.2527667760833801</v>
      </c>
      <c r="O1052" s="1689">
        <v>4.6816239877427099</v>
      </c>
      <c r="P1052" s="1690">
        <v>4.4489077872000502</v>
      </c>
      <c r="Q1052" s="2598">
        <v>4.8961134867061</v>
      </c>
      <c r="R1052" s="926">
        <v>7.0425405075804797</v>
      </c>
      <c r="S1052" s="1485">
        <v>6.7038473112271602</v>
      </c>
      <c r="T1052" s="921">
        <v>6.49495739122976</v>
      </c>
    </row>
    <row r="1053" spans="1:20">
      <c r="A1053" t="s">
        <v>3225</v>
      </c>
      <c r="B1053" s="6" t="str">
        <f>HYPERLINK("http://www.ncbi.nlm.nih.gov/gene/107765", "107765")</f>
        <v>107765</v>
      </c>
      <c r="C1053" s="6" t="str">
        <f>HYPERLINK("http://www.ncbi.nlm.nih.gov/gene/27063", "27063")</f>
        <v>27063</v>
      </c>
      <c r="D1053" t="str">
        <f>"Ankrd1"</f>
        <v>Ankrd1</v>
      </c>
      <c r="E1053" t="s">
        <v>3226</v>
      </c>
      <c r="F1053" t="s">
        <v>3237</v>
      </c>
      <c r="H1053" s="521">
        <v>7</v>
      </c>
      <c r="I1053" s="425">
        <v>6.6704866101875497</v>
      </c>
      <c r="J1053" s="249">
        <v>6.5207238708213904</v>
      </c>
      <c r="K1053" s="38">
        <v>6.3202654023348401</v>
      </c>
      <c r="L1053" s="2596">
        <v>7.1297874064896396</v>
      </c>
      <c r="M1053" s="979">
        <v>7.1420482434207102</v>
      </c>
      <c r="N1053" s="1457">
        <v>6.9083995010902601</v>
      </c>
      <c r="O1053" s="1692">
        <v>5.2534450894324003</v>
      </c>
      <c r="P1053" s="1693">
        <v>5.1213792621217404</v>
      </c>
      <c r="Q1053" s="2589">
        <v>5.3010692026324602</v>
      </c>
      <c r="R1053" s="825">
        <v>6.75363365711691</v>
      </c>
      <c r="S1053" s="933">
        <v>6.9011412803646399</v>
      </c>
      <c r="T1053" s="1529">
        <v>6.7297896580394596</v>
      </c>
    </row>
    <row r="1054" spans="1:20">
      <c r="A1054" t="s">
        <v>3238</v>
      </c>
      <c r="B1054" s="6" t="str">
        <f>HYPERLINK("http://www.ncbi.nlm.nih.gov/gene/68895", "68895")</f>
        <v>68895</v>
      </c>
      <c r="C1054" s="6" t="str">
        <f>HYPERLINK("http://www.ncbi.nlm.nih.gov/gene/387496", "387496")</f>
        <v>387496</v>
      </c>
      <c r="D1054" t="str">
        <f>"Rasl11a"</f>
        <v>Rasl11a</v>
      </c>
      <c r="E1054" t="s">
        <v>3239</v>
      </c>
      <c r="F1054" t="s">
        <v>3240</v>
      </c>
      <c r="H1054" s="521">
        <v>7</v>
      </c>
      <c r="I1054" s="33">
        <v>6.7519377394992599</v>
      </c>
      <c r="J1054" s="170">
        <v>6.7636724143603804</v>
      </c>
      <c r="K1054" s="242">
        <v>6.7079896541706496</v>
      </c>
      <c r="L1054" s="2517">
        <v>7.4900576109807497</v>
      </c>
      <c r="M1054" s="1120">
        <v>7.6031537304152703</v>
      </c>
      <c r="N1054" s="1484">
        <v>7.2680218211424599</v>
      </c>
      <c r="O1054" s="1685">
        <v>5.5673921365691497</v>
      </c>
      <c r="P1054" s="1643">
        <v>5.65014694697655</v>
      </c>
      <c r="Q1054" s="2599">
        <v>5.8004356555300403</v>
      </c>
      <c r="R1054" s="951">
        <v>7.2350702409454097</v>
      </c>
      <c r="S1054" s="825">
        <v>7.1160959549443898</v>
      </c>
      <c r="T1054" s="1656">
        <v>7.2771562159661203</v>
      </c>
    </row>
    <row r="1055" spans="1:20">
      <c r="A1055" t="s">
        <v>3241</v>
      </c>
      <c r="B1055" s="6" t="str">
        <f>HYPERLINK("http://www.ncbi.nlm.nih.gov/gene/27428", "27428")</f>
        <v>27428</v>
      </c>
      <c r="C1055" s="6" t="str">
        <f>HYPERLINK("http://www.ncbi.nlm.nih.gov/gene/57619", "57619")</f>
        <v>57619</v>
      </c>
      <c r="D1055" t="str">
        <f>"Shroom3"</f>
        <v>Shroom3</v>
      </c>
      <c r="E1055" t="s">
        <v>3242</v>
      </c>
      <c r="F1055" t="s">
        <v>3243</v>
      </c>
      <c r="H1055" s="521">
        <v>7</v>
      </c>
      <c r="I1055" s="247">
        <v>6.8293530811452898</v>
      </c>
      <c r="J1055" s="266">
        <v>6.7834501497839996</v>
      </c>
      <c r="K1055" s="238">
        <v>6.89084614847597</v>
      </c>
      <c r="L1055" s="1983">
        <v>7.6810958675953502</v>
      </c>
      <c r="M1055" s="979">
        <v>7.5814997989260702</v>
      </c>
      <c r="N1055" s="1135">
        <v>7.7200824034193802</v>
      </c>
      <c r="O1055" s="1675">
        <v>5.8810099461277696</v>
      </c>
      <c r="P1055" s="1694">
        <v>5.6457376307466598</v>
      </c>
      <c r="Q1055" s="2600">
        <v>5.8805015216332004</v>
      </c>
      <c r="R1055" s="945">
        <v>7.3965748744087296</v>
      </c>
      <c r="S1055" s="838">
        <v>6.99420287434726</v>
      </c>
      <c r="T1055" s="1450">
        <v>7.0610009291968403</v>
      </c>
    </row>
    <row r="1056" spans="1:20">
      <c r="A1056" t="s">
        <v>3244</v>
      </c>
      <c r="B1056" s="6" t="str">
        <f>HYPERLINK("http://www.ncbi.nlm.nih.gov/gene/268977", "268977")</f>
        <v>268977</v>
      </c>
      <c r="C1056" s="6" t="str">
        <f>HYPERLINK("http://www.ncbi.nlm.nih.gov/gene/4052", "4052")</f>
        <v>4052</v>
      </c>
      <c r="D1056" t="str">
        <f>"Ltbp1"</f>
        <v>Ltbp1</v>
      </c>
      <c r="E1056" t="s">
        <v>3245</v>
      </c>
      <c r="F1056" t="s">
        <v>3246</v>
      </c>
      <c r="G1056" t="s">
        <v>222</v>
      </c>
      <c r="H1056" s="521">
        <v>7</v>
      </c>
      <c r="I1056" s="300">
        <v>8.1415402131780592</v>
      </c>
      <c r="J1056" s="170">
        <v>8.1329400300777799</v>
      </c>
      <c r="K1056" s="38">
        <v>8.0640934781873597</v>
      </c>
      <c r="L1056" s="2544">
        <v>8.8835765436637608</v>
      </c>
      <c r="M1056" s="979">
        <v>8.8116046992942394</v>
      </c>
      <c r="N1056" s="639">
        <v>9.0109100988547297</v>
      </c>
      <c r="O1056" s="1695">
        <v>7.0241114354321601</v>
      </c>
      <c r="P1056" s="1445">
        <v>7.1589763089938003</v>
      </c>
      <c r="Q1056" s="2600">
        <v>7.2004951937254997</v>
      </c>
      <c r="R1056" s="527">
        <v>8.6114076390159795</v>
      </c>
      <c r="S1056" s="1497">
        <v>8.2624490897601195</v>
      </c>
      <c r="T1056" s="1545">
        <v>8.2780521720427291</v>
      </c>
    </row>
    <row r="1057" spans="1:20">
      <c r="A1057" t="s">
        <v>3247</v>
      </c>
      <c r="B1057" s="6" t="str">
        <f>HYPERLINK("http://www.ncbi.nlm.nih.gov/gene/231470", "231470")</f>
        <v>231470</v>
      </c>
      <c r="C1057" s="6" t="str">
        <f>HYPERLINK("http://www.ncbi.nlm.nih.gov/gene/80144", "80144")</f>
        <v>80144</v>
      </c>
      <c r="D1057" t="str">
        <f>"Fras1"</f>
        <v>Fras1</v>
      </c>
      <c r="E1057" t="s">
        <v>3248</v>
      </c>
      <c r="F1057" t="s">
        <v>3249</v>
      </c>
      <c r="H1057" s="521">
        <v>7</v>
      </c>
      <c r="I1057" s="319">
        <v>7.2489984368757403</v>
      </c>
      <c r="J1057" s="68">
        <v>6.77711326924274</v>
      </c>
      <c r="K1057" s="31">
        <v>7.0392553772606803</v>
      </c>
      <c r="L1057" s="2544">
        <v>7.80088374804882</v>
      </c>
      <c r="M1057" s="855">
        <v>7.7410479948152799</v>
      </c>
      <c r="N1057" s="634">
        <v>7.7709555095313299</v>
      </c>
      <c r="O1057" s="1696">
        <v>5.9961795566926499</v>
      </c>
      <c r="P1057" s="1565">
        <v>6.1778104971610501</v>
      </c>
      <c r="Q1057" s="2601">
        <v>6.2156725491565403</v>
      </c>
      <c r="R1057" s="881">
        <v>7.6746060365446098</v>
      </c>
      <c r="S1057" s="916">
        <v>7.2231164052584296</v>
      </c>
      <c r="T1057" s="1506">
        <v>7.30456229283089</v>
      </c>
    </row>
    <row r="1058" spans="1:20">
      <c r="A1058" t="s">
        <v>3250</v>
      </c>
      <c r="B1058" s="6" t="str">
        <f>HYPERLINK("http://www.ncbi.nlm.nih.gov/gene/13518", "13518")</f>
        <v>13518</v>
      </c>
      <c r="C1058" s="6" t="str">
        <f>HYPERLINK("http://www.ncbi.nlm.nih.gov/gene/", "")</f>
        <v/>
      </c>
      <c r="D1058" t="str">
        <f>"Dst"</f>
        <v>Dst</v>
      </c>
      <c r="E1058" t="s">
        <v>3251</v>
      </c>
      <c r="F1058" t="s">
        <v>3252</v>
      </c>
      <c r="H1058" s="521">
        <v>7</v>
      </c>
      <c r="I1058" s="282">
        <v>6.1479802821985103</v>
      </c>
      <c r="J1058" s="170">
        <v>5.9831120529658399</v>
      </c>
      <c r="K1058" s="247">
        <v>5.9609685861269996</v>
      </c>
      <c r="L1058" s="2438">
        <v>6.5216498565298</v>
      </c>
      <c r="M1058" s="930">
        <v>6.4339203235957099</v>
      </c>
      <c r="N1058" s="704">
        <v>6.44819964719591</v>
      </c>
      <c r="O1058" s="1670">
        <v>5.1069040747952004</v>
      </c>
      <c r="P1058" s="1156">
        <v>5.23584774590734</v>
      </c>
      <c r="Q1058" s="2594">
        <v>5.2807003481297903</v>
      </c>
      <c r="R1058" s="1140">
        <v>6.4982694625848403</v>
      </c>
      <c r="S1058" s="813">
        <v>6.1124510820452702</v>
      </c>
      <c r="T1058" s="1539">
        <v>6.0447083489554601</v>
      </c>
    </row>
    <row r="1059" spans="1:20">
      <c r="A1059" t="s">
        <v>3253</v>
      </c>
      <c r="B1059" s="6" t="str">
        <f>HYPERLINK("http://www.ncbi.nlm.nih.gov/gene/54725", "54725")</f>
        <v>54725</v>
      </c>
      <c r="C1059" s="6" t="str">
        <f>HYPERLINK("http://www.ncbi.nlm.nih.gov/gene/23705", "23705")</f>
        <v>23705</v>
      </c>
      <c r="D1059" t="str">
        <f>"Cadm1"</f>
        <v>Cadm1</v>
      </c>
      <c r="E1059" t="s">
        <v>3254</v>
      </c>
      <c r="F1059" t="s">
        <v>3255</v>
      </c>
      <c r="G1059" t="s">
        <v>362</v>
      </c>
      <c r="H1059" s="521">
        <v>7</v>
      </c>
      <c r="I1059" s="477">
        <v>9.0847436777006294</v>
      </c>
      <c r="J1059" s="241">
        <v>8.9728003559633098</v>
      </c>
      <c r="K1059" s="174">
        <v>8.9883064400518293</v>
      </c>
      <c r="L1059" s="2028">
        <v>8.0988180602548496</v>
      </c>
      <c r="M1059" s="835">
        <v>8.1593379600604496</v>
      </c>
      <c r="N1059" s="649">
        <v>8.0582339329544794</v>
      </c>
      <c r="O1059" s="1681">
        <v>7.1747046684183902</v>
      </c>
      <c r="P1059" s="863">
        <v>7.3623633887786903</v>
      </c>
      <c r="Q1059" s="2602">
        <v>7.1660754531100697</v>
      </c>
      <c r="R1059" s="913">
        <v>8.1988308893571809</v>
      </c>
      <c r="S1059" s="813">
        <v>8.3271911295541603</v>
      </c>
      <c r="T1059" s="817">
        <v>8.2893239660819003</v>
      </c>
    </row>
    <row r="1060" spans="1:20">
      <c r="A1060" t="s">
        <v>3256</v>
      </c>
      <c r="B1060" s="6" t="str">
        <f>HYPERLINK("http://www.ncbi.nlm.nih.gov/gene/12111", "12111")</f>
        <v>12111</v>
      </c>
      <c r="C1060" s="6" t="str">
        <f>HYPERLINK("http://www.ncbi.nlm.nih.gov/gene/633", "633")</f>
        <v>633</v>
      </c>
      <c r="D1060" t="str">
        <f>"Bgn"</f>
        <v>Bgn</v>
      </c>
      <c r="E1060" t="s">
        <v>3257</v>
      </c>
      <c r="F1060" t="s">
        <v>3258</v>
      </c>
      <c r="H1060" s="521">
        <v>7</v>
      </c>
      <c r="I1060" s="119">
        <v>11.5460432535822</v>
      </c>
      <c r="J1060" s="280">
        <v>11.495374066950401</v>
      </c>
      <c r="K1060" s="475">
        <v>11.4468282759329</v>
      </c>
      <c r="L1060" s="2013">
        <v>10.468699580754199</v>
      </c>
      <c r="M1060" s="1122">
        <v>10.4820583336084</v>
      </c>
      <c r="N1060" s="650">
        <v>10.382569707199901</v>
      </c>
      <c r="O1060" s="1697">
        <v>9.3075642980603099</v>
      </c>
      <c r="P1060" s="1144">
        <v>9.2768040077177805</v>
      </c>
      <c r="Q1060" s="2130">
        <v>9.4159804382757706</v>
      </c>
      <c r="R1060" s="1095">
        <v>10.3511893891803</v>
      </c>
      <c r="S1060" s="1100">
        <v>10.4971824180151</v>
      </c>
      <c r="T1060" s="817">
        <v>10.600499247903</v>
      </c>
    </row>
    <row r="1061" spans="1:20">
      <c r="A1061" t="s">
        <v>3259</v>
      </c>
      <c r="B1061" s="6" t="str">
        <f>HYPERLINK("http://www.ncbi.nlm.nih.gov/gene/19737", "19737")</f>
        <v>19737</v>
      </c>
      <c r="C1061" s="6" t="str">
        <f>HYPERLINK("http://www.ncbi.nlm.nih.gov/gene/8490", "8490")</f>
        <v>8490</v>
      </c>
      <c r="D1061" t="str">
        <f>"Rgs5"</f>
        <v>Rgs5</v>
      </c>
      <c r="E1061" t="s">
        <v>3260</v>
      </c>
      <c r="F1061" t="s">
        <v>3261</v>
      </c>
      <c r="H1061" s="521">
        <v>7</v>
      </c>
      <c r="I1061" s="279">
        <v>11.046801134708099</v>
      </c>
      <c r="J1061" s="213">
        <v>10.977030049899501</v>
      </c>
      <c r="K1061" s="264">
        <v>11.123472573812901</v>
      </c>
      <c r="L1061" s="2570">
        <v>9.1775713020875909</v>
      </c>
      <c r="M1061" s="700">
        <v>9.1610228283380994</v>
      </c>
      <c r="N1061" s="1006">
        <v>8.8683286916566395</v>
      </c>
      <c r="O1061" s="1554">
        <v>7.9369394347624</v>
      </c>
      <c r="P1061" s="727">
        <v>7.7863130663600701</v>
      </c>
      <c r="Q1061" s="2599">
        <v>7.7448290586177899</v>
      </c>
      <c r="R1061" s="1226">
        <v>9.4007151536360301</v>
      </c>
      <c r="S1061" s="1497">
        <v>9.6017556978868299</v>
      </c>
      <c r="T1061" s="1544">
        <v>9.5884147863286397</v>
      </c>
    </row>
    <row r="1062" spans="1:20">
      <c r="A1062" t="s">
        <v>3262</v>
      </c>
      <c r="B1062" s="6" t="str">
        <f>HYPERLINK("http://www.ncbi.nlm.nih.gov/gene/100862094", "100862094")</f>
        <v>100862094</v>
      </c>
      <c r="C1062" s="6" t="str">
        <f>HYPERLINK("http://www.ncbi.nlm.nih.gov/gene/", "")</f>
        <v/>
      </c>
      <c r="D1062" t="str">
        <f>"LOC100862094"</f>
        <v>LOC100862094</v>
      </c>
      <c r="E1062" t="s">
        <v>3263</v>
      </c>
      <c r="H1062" s="521">
        <v>7</v>
      </c>
      <c r="I1062" s="213">
        <v>8.58501389580886</v>
      </c>
      <c r="J1062" s="85">
        <v>8.6359961837473396</v>
      </c>
      <c r="K1062" s="85">
        <v>8.6231692178153505</v>
      </c>
      <c r="L1062" s="2046">
        <v>6.88164598584153</v>
      </c>
      <c r="M1062" s="726">
        <v>6.8859445748178603</v>
      </c>
      <c r="N1062" s="592">
        <v>6.3839285056259003</v>
      </c>
      <c r="O1062" s="1085">
        <v>5.6086068477385203</v>
      </c>
      <c r="P1062" s="1161">
        <v>5.50076982067558</v>
      </c>
      <c r="Q1062" s="2579">
        <v>5.1580137012358396</v>
      </c>
      <c r="R1062" s="746">
        <v>6.9649550168146996</v>
      </c>
      <c r="S1062" s="732">
        <v>7.3040295865978404</v>
      </c>
      <c r="T1062" s="1507">
        <v>7.2822555776366702</v>
      </c>
    </row>
    <row r="1063" spans="1:20">
      <c r="A1063" t="s">
        <v>3264</v>
      </c>
      <c r="B1063" s="6" t="str">
        <f>HYPERLINK("http://www.ncbi.nlm.nih.gov/gene/227541", "227541")</f>
        <v>227541</v>
      </c>
      <c r="C1063" s="6" t="str">
        <f>HYPERLINK("http://www.ncbi.nlm.nih.gov/gene/57118", "57118")</f>
        <v>57118</v>
      </c>
      <c r="D1063" t="str">
        <f>"Camk1d"</f>
        <v>Camk1d</v>
      </c>
      <c r="E1063" t="s">
        <v>3265</v>
      </c>
      <c r="F1063" t="s">
        <v>3266</v>
      </c>
      <c r="H1063" s="521">
        <v>7</v>
      </c>
      <c r="I1063" s="268">
        <v>7.3195813048899998</v>
      </c>
      <c r="J1063" s="362">
        <v>7.02151652078732</v>
      </c>
      <c r="K1063" s="77">
        <v>7.4424111009953497</v>
      </c>
      <c r="L1063" s="2132">
        <v>6.22774769787293</v>
      </c>
      <c r="M1063" s="1251">
        <v>6.5384064584346504</v>
      </c>
      <c r="N1063" s="1126">
        <v>6.6856250785365097</v>
      </c>
      <c r="O1063" s="1675">
        <v>5.4681317135340501</v>
      </c>
      <c r="P1063" s="1306">
        <v>5.6935851250773597</v>
      </c>
      <c r="Q1063" s="2603">
        <v>5.0614199224418002</v>
      </c>
      <c r="R1063" s="626">
        <v>6.6045308507631102</v>
      </c>
      <c r="S1063" s="901">
        <v>6.8586504899871299</v>
      </c>
      <c r="T1063" s="1633">
        <v>6.7690983564013498</v>
      </c>
    </row>
    <row r="1064" spans="1:20">
      <c r="A1064" t="s">
        <v>3267</v>
      </c>
      <c r="B1064" s="6" t="str">
        <f>HYPERLINK("http://www.ncbi.nlm.nih.gov/gene/118449", "118449")</f>
        <v>118449</v>
      </c>
      <c r="C1064" s="6" t="str">
        <f>HYPERLINK("http://www.ncbi.nlm.nih.gov/gene/171024", "171024")</f>
        <v>171024</v>
      </c>
      <c r="D1064" t="str">
        <f>"Synpo2"</f>
        <v>Synpo2</v>
      </c>
      <c r="E1064" t="s">
        <v>3268</v>
      </c>
      <c r="F1064" t="s">
        <v>3269</v>
      </c>
      <c r="H1064" s="521">
        <v>7</v>
      </c>
      <c r="I1064" s="267">
        <v>8.3016917297884696</v>
      </c>
      <c r="J1064" s="86">
        <v>8.0561416806620691</v>
      </c>
      <c r="K1064" s="174">
        <v>8.0680744704534195</v>
      </c>
      <c r="L1064" s="2037">
        <v>6.8140565542250098</v>
      </c>
      <c r="M1064" s="627">
        <v>6.9212530345157797</v>
      </c>
      <c r="N1064" s="595">
        <v>6.8829521590384797</v>
      </c>
      <c r="O1064" s="1639">
        <v>6.2610987922036001</v>
      </c>
      <c r="P1064" s="1442">
        <v>6.4074603308341196</v>
      </c>
      <c r="Q1064" s="2598">
        <v>6.2674174761796504</v>
      </c>
      <c r="R1064" s="764">
        <v>7.4122944244944602</v>
      </c>
      <c r="S1064" s="1454">
        <v>7.4120044989033804</v>
      </c>
      <c r="T1064" s="1531">
        <v>7.3622918786847604</v>
      </c>
    </row>
    <row r="1065" spans="1:20">
      <c r="A1065" t="s">
        <v>3270</v>
      </c>
      <c r="B1065" s="6" t="str">
        <f>HYPERLINK("http://www.ncbi.nlm.nih.gov/gene/54598", "54598")</f>
        <v>54598</v>
      </c>
      <c r="C1065" s="6" t="str">
        <f>HYPERLINK("http://www.ncbi.nlm.nih.gov/gene/10203", "10203")</f>
        <v>10203</v>
      </c>
      <c r="D1065" t="str">
        <f>"Calcrl"</f>
        <v>Calcrl</v>
      </c>
      <c r="E1065" t="s">
        <v>3284</v>
      </c>
      <c r="F1065" t="s">
        <v>3271</v>
      </c>
      <c r="G1065" t="s">
        <v>3272</v>
      </c>
      <c r="H1065" s="521">
        <v>7</v>
      </c>
      <c r="I1065" s="358">
        <v>9.1230967327414394</v>
      </c>
      <c r="J1065" s="368">
        <v>9.2219089531959693</v>
      </c>
      <c r="K1065" s="78">
        <v>9.2445693906069906</v>
      </c>
      <c r="L1065" s="2063">
        <v>6.7862883187274097</v>
      </c>
      <c r="M1065" s="832">
        <v>6.9629120346237601</v>
      </c>
      <c r="N1065" s="680">
        <v>7.0809721062544204</v>
      </c>
      <c r="O1065" s="1079">
        <v>5.8283156230258699</v>
      </c>
      <c r="P1065" s="1447">
        <v>5.8914435299765104</v>
      </c>
      <c r="Q1065" s="2592">
        <v>5.6781784115824099</v>
      </c>
      <c r="R1065" s="1250">
        <v>8.3631080710334196</v>
      </c>
      <c r="S1065" s="933">
        <v>8.5204464150038302</v>
      </c>
      <c r="T1065" s="1498">
        <v>8.3524850645731696</v>
      </c>
    </row>
    <row r="1066" spans="1:20">
      <c r="A1066" t="s">
        <v>3273</v>
      </c>
      <c r="B1066" s="6" t="str">
        <f>HYPERLINK("http://www.ncbi.nlm.nih.gov/gene/29817", "29817")</f>
        <v>29817</v>
      </c>
      <c r="C1066" s="6" t="str">
        <f>HYPERLINK("http://www.ncbi.nlm.nih.gov/gene/3490", "3490")</f>
        <v>3490</v>
      </c>
      <c r="D1066" t="str">
        <f>"Igfbp7"</f>
        <v>Igfbp7</v>
      </c>
      <c r="E1066" t="s">
        <v>3274</v>
      </c>
      <c r="F1066" t="s">
        <v>3275</v>
      </c>
      <c r="H1066" s="521">
        <v>7</v>
      </c>
      <c r="I1066" s="414">
        <v>9.4442637132748608</v>
      </c>
      <c r="J1066" s="395">
        <v>9.4787998245698901</v>
      </c>
      <c r="K1066" s="49">
        <v>9.4126095676933303</v>
      </c>
      <c r="L1066" s="1919">
        <v>8.2454023157227105</v>
      </c>
      <c r="M1066" s="690">
        <v>8.0737308835669896</v>
      </c>
      <c r="N1066" s="1095">
        <v>7.9285862506869904</v>
      </c>
      <c r="O1066" s="1667">
        <v>5.7392338460288999</v>
      </c>
      <c r="P1066" s="1433">
        <v>5.4359768168583402</v>
      </c>
      <c r="Q1066" s="2587">
        <v>5.4995260282997496</v>
      </c>
      <c r="R1066" s="945">
        <v>9.30300789497349</v>
      </c>
      <c r="S1066" s="973">
        <v>9.2946426823396706</v>
      </c>
      <c r="T1066" s="1031">
        <v>9.3345841832095608</v>
      </c>
    </row>
    <row r="1067" spans="1:20">
      <c r="A1067" t="s">
        <v>3276</v>
      </c>
      <c r="B1067" s="6" t="str">
        <f>HYPERLINK("http://www.ncbi.nlm.nih.gov/gene/19736", "19736")</f>
        <v>19736</v>
      </c>
      <c r="C1067" s="6" t="str">
        <f>HYPERLINK("http://www.ncbi.nlm.nih.gov/gene/5999", "5999")</f>
        <v>5999</v>
      </c>
      <c r="D1067" t="str">
        <f>"Rgs4"</f>
        <v>Rgs4</v>
      </c>
      <c r="E1067" t="s">
        <v>3277</v>
      </c>
      <c r="F1067" t="s">
        <v>3278</v>
      </c>
      <c r="H1067" s="521">
        <v>7</v>
      </c>
      <c r="I1067" s="293">
        <v>7.4530563293657597</v>
      </c>
      <c r="J1067" s="395">
        <v>7.5927679055089197</v>
      </c>
      <c r="K1067" s="334">
        <v>7.5701634564005698</v>
      </c>
      <c r="L1067" s="2604">
        <v>7.0016129662334201</v>
      </c>
      <c r="M1067" s="845">
        <v>6.9788646149909601</v>
      </c>
      <c r="N1067" s="813">
        <v>6.9879327185051201</v>
      </c>
      <c r="O1067" s="1698">
        <v>4.95782872778081</v>
      </c>
      <c r="P1067" s="1699">
        <v>5.0309552828508801</v>
      </c>
      <c r="Q1067" s="2123">
        <v>5.2543606983306796</v>
      </c>
      <c r="R1067" s="820">
        <v>7.1469998945820601</v>
      </c>
      <c r="S1067" s="909">
        <v>7.40506736239983</v>
      </c>
      <c r="T1067" s="1486">
        <v>7.3937760491684301</v>
      </c>
    </row>
    <row r="1068" spans="1:20">
      <c r="A1068" t="s">
        <v>3279</v>
      </c>
      <c r="B1068" s="6" t="str">
        <f>HYPERLINK("http://www.ncbi.nlm.nih.gov/gene/13860", "13860")</f>
        <v>13860</v>
      </c>
      <c r="C1068" s="6" t="str">
        <f>HYPERLINK("http://www.ncbi.nlm.nih.gov/gene/2059", "2059")</f>
        <v>2059</v>
      </c>
      <c r="D1068" t="str">
        <f>"Eps8"</f>
        <v>Eps8</v>
      </c>
      <c r="E1068" t="s">
        <v>3280</v>
      </c>
      <c r="F1068" t="s">
        <v>3281</v>
      </c>
      <c r="H1068" s="521">
        <v>7</v>
      </c>
      <c r="I1068" s="387">
        <v>8.9052732044477896</v>
      </c>
      <c r="J1068" s="398">
        <v>8.8316837807721793</v>
      </c>
      <c r="K1068" s="470">
        <v>9.0344926382377899</v>
      </c>
      <c r="L1068" s="2605">
        <v>7.9349592886921299</v>
      </c>
      <c r="M1068" s="835">
        <v>7.9209692467656803</v>
      </c>
      <c r="N1068" s="750">
        <v>8.05687923467584</v>
      </c>
      <c r="O1068" s="1700">
        <v>6.4811721510150901</v>
      </c>
      <c r="P1068" s="1701">
        <v>6.3744872227029301</v>
      </c>
      <c r="Q1068" s="2584">
        <v>6.4637912251831304</v>
      </c>
      <c r="R1068" s="764">
        <v>8.2359634921425204</v>
      </c>
      <c r="S1068" s="901">
        <v>8.4248917666375291</v>
      </c>
      <c r="T1068" s="935">
        <v>8.3697131472430097</v>
      </c>
    </row>
    <row r="1069" spans="1:20">
      <c r="A1069" t="s">
        <v>3282</v>
      </c>
      <c r="B1069" s="6" t="str">
        <f>HYPERLINK("http://www.ncbi.nlm.nih.gov/gene/18212", "18212")</f>
        <v>18212</v>
      </c>
      <c r="C1069" s="6" t="str">
        <f>HYPERLINK("http://www.ncbi.nlm.nih.gov/gene/4915", "4915")</f>
        <v>4915</v>
      </c>
      <c r="D1069" t="str">
        <f>"Ntrk2"</f>
        <v>Ntrk2</v>
      </c>
      <c r="E1069" t="s">
        <v>3283</v>
      </c>
      <c r="F1069" t="s">
        <v>3285</v>
      </c>
      <c r="G1069" t="s">
        <v>3298</v>
      </c>
      <c r="H1069" s="521">
        <v>7</v>
      </c>
      <c r="I1069" s="67">
        <v>7.5272975504404602</v>
      </c>
      <c r="J1069" s="340">
        <v>7.3478897350463903</v>
      </c>
      <c r="K1069" s="298">
        <v>7.3197416810248201</v>
      </c>
      <c r="L1069" s="2120">
        <v>7.0903214128782199</v>
      </c>
      <c r="M1069" s="739">
        <v>7.0830895500733702</v>
      </c>
      <c r="N1069" s="781">
        <v>6.9798063893756899</v>
      </c>
      <c r="O1069" s="1692">
        <v>6.1756417093893203</v>
      </c>
      <c r="P1069" s="1702">
        <v>6.0056270849495696</v>
      </c>
      <c r="Q1069" s="2598">
        <v>6.2987112490151702</v>
      </c>
      <c r="R1069" s="882">
        <v>7.2352409259696602</v>
      </c>
      <c r="S1069" s="732">
        <v>7.1087359656949696</v>
      </c>
      <c r="T1069" s="1703">
        <v>7.5048559202305798</v>
      </c>
    </row>
    <row r="1070" spans="1:20">
      <c r="A1070" t="s">
        <v>3299</v>
      </c>
      <c r="B1070" s="6" t="str">
        <f>HYPERLINK("http://www.ncbi.nlm.nih.gov/gene/107250", "107250")</f>
        <v>107250</v>
      </c>
      <c r="C1070" s="6" t="str">
        <f>HYPERLINK("http://www.ncbi.nlm.nih.gov/gene/81621", "81621")</f>
        <v>81621</v>
      </c>
      <c r="D1070" t="str">
        <f>"Kazald1"</f>
        <v>Kazald1</v>
      </c>
      <c r="E1070" t="s">
        <v>3300</v>
      </c>
      <c r="F1070" t="s">
        <v>3286</v>
      </c>
      <c r="H1070" s="521">
        <v>7</v>
      </c>
      <c r="I1070" s="377">
        <v>6.0407626196143296</v>
      </c>
      <c r="J1070" s="448">
        <v>6.2420913431500997</v>
      </c>
      <c r="K1070" s="387">
        <v>6.2897932734562101</v>
      </c>
      <c r="L1070" s="2317">
        <v>5.8479298840189502</v>
      </c>
      <c r="M1070" s="806">
        <v>5.9991322684627102</v>
      </c>
      <c r="N1070" s="670">
        <v>5.6231019599838099</v>
      </c>
      <c r="O1070" s="1554">
        <v>5.1700367079975198</v>
      </c>
      <c r="P1070" s="1704">
        <v>4.729330351772</v>
      </c>
      <c r="Q1070" s="2489">
        <v>5.1573344439221902</v>
      </c>
      <c r="R1070" s="690">
        <v>5.76355490914497</v>
      </c>
      <c r="S1070" s="862">
        <v>6.0950248736650297</v>
      </c>
      <c r="T1070" s="1618">
        <v>6.2741210786374504</v>
      </c>
    </row>
    <row r="1071" spans="1:20">
      <c r="A1071" t="s">
        <v>3287</v>
      </c>
      <c r="B1071" s="6" t="str">
        <f>HYPERLINK("http://www.ncbi.nlm.nih.gov/gene/70599", "70599")</f>
        <v>70599</v>
      </c>
      <c r="C1071" s="6" t="str">
        <f>HYPERLINK("http://www.ncbi.nlm.nih.gov/gene/6744", "6744")</f>
        <v>6744</v>
      </c>
      <c r="D1071" t="str">
        <f>"Ssfa2"</f>
        <v>Ssfa2</v>
      </c>
      <c r="E1071" t="s">
        <v>3288</v>
      </c>
      <c r="F1071" t="s">
        <v>3289</v>
      </c>
      <c r="H1071" s="521">
        <v>7</v>
      </c>
      <c r="I1071" s="251">
        <v>7.20424572306269</v>
      </c>
      <c r="J1071" s="464">
        <v>7.02151652078732</v>
      </c>
      <c r="K1071" s="283">
        <v>7.0436581359255097</v>
      </c>
      <c r="L1071" s="2518">
        <v>7.5938292777306504</v>
      </c>
      <c r="M1071" s="553">
        <v>7.6677532075326402</v>
      </c>
      <c r="N1071" s="947">
        <v>7.5123634512308399</v>
      </c>
      <c r="O1071" s="1705">
        <v>5.8990917983136999</v>
      </c>
      <c r="P1071" s="1690">
        <v>5.6759036768894902</v>
      </c>
      <c r="Q1071" s="2592">
        <v>5.9092460488243699</v>
      </c>
      <c r="R1071" s="889">
        <v>6.9686276068957396</v>
      </c>
      <c r="S1071" s="1296">
        <v>6.8107113292010304</v>
      </c>
      <c r="T1071" s="667">
        <v>6.9168637182988597</v>
      </c>
    </row>
    <row r="1072" spans="1:20">
      <c r="A1072" t="s">
        <v>3290</v>
      </c>
      <c r="B1072" s="6" t="str">
        <f>HYPERLINK("http://www.ncbi.nlm.nih.gov/gene/14132", "14132")</f>
        <v>14132</v>
      </c>
      <c r="C1072" s="6" t="str">
        <f>HYPERLINK("http://www.ncbi.nlm.nih.gov/gene/2217", "2217")</f>
        <v>2217</v>
      </c>
      <c r="D1072" t="str">
        <f>"Fcgrt"</f>
        <v>Fcgrt</v>
      </c>
      <c r="E1072" t="s">
        <v>3291</v>
      </c>
      <c r="F1072" t="s">
        <v>3292</v>
      </c>
      <c r="H1072" s="521">
        <v>7</v>
      </c>
      <c r="I1072" s="425">
        <v>8.4601619079038795</v>
      </c>
      <c r="J1072" s="324">
        <v>8.49451423502307</v>
      </c>
      <c r="K1072" s="320">
        <v>8.5084014204001406</v>
      </c>
      <c r="L1072" s="2450">
        <v>9.0302845758836803</v>
      </c>
      <c r="M1072" s="1508">
        <v>9.0950210027862699</v>
      </c>
      <c r="N1072" s="981">
        <v>8.9089504737228395</v>
      </c>
      <c r="O1072" s="1706">
        <v>6.8878848693620096</v>
      </c>
      <c r="P1072" s="1707">
        <v>6.6069535996891702</v>
      </c>
      <c r="Q1072" s="2587">
        <v>6.7057221353419196</v>
      </c>
      <c r="R1072" s="746">
        <v>8.1156099169725007</v>
      </c>
      <c r="S1072" s="838">
        <v>8.2925114436619296</v>
      </c>
      <c r="T1072" s="1708">
        <v>8.4657626154125101</v>
      </c>
    </row>
    <row r="1073" spans="1:20">
      <c r="A1073" t="s">
        <v>3293</v>
      </c>
      <c r="B1073" s="6" t="str">
        <f>HYPERLINK("http://www.ncbi.nlm.nih.gov/gene/11535", "11535")</f>
        <v>11535</v>
      </c>
      <c r="C1073" s="6" t="str">
        <f>HYPERLINK("http://www.ncbi.nlm.nih.gov/gene/133", "133")</f>
        <v>133</v>
      </c>
      <c r="D1073" t="str">
        <f>"Adm"</f>
        <v>Adm</v>
      </c>
      <c r="E1073" t="s">
        <v>3294</v>
      </c>
      <c r="F1073" t="s">
        <v>3295</v>
      </c>
      <c r="H1073" s="521">
        <v>7</v>
      </c>
      <c r="I1073" s="339">
        <v>6.4617034302341301</v>
      </c>
      <c r="J1073" s="324">
        <v>6.5268024138495697</v>
      </c>
      <c r="K1073" s="348">
        <v>6.6859482815713704</v>
      </c>
      <c r="L1073" s="2521">
        <v>7.2509628775823298</v>
      </c>
      <c r="M1073" s="1170">
        <v>7.3459687337068598</v>
      </c>
      <c r="N1073" s="947">
        <v>7.2742849147354098</v>
      </c>
      <c r="O1073" s="1662">
        <v>4.3055298230248802</v>
      </c>
      <c r="P1073" s="1709">
        <v>3.7016414042767001</v>
      </c>
      <c r="Q1073" s="2606">
        <v>3.7609219171576802</v>
      </c>
      <c r="R1073" s="645">
        <v>6.1531330662838197</v>
      </c>
      <c r="S1073" s="916">
        <v>6.2840147001326603</v>
      </c>
      <c r="T1073" s="789">
        <v>6.1006614059525797</v>
      </c>
    </row>
    <row r="1074" spans="1:20">
      <c r="A1074" t="s">
        <v>3296</v>
      </c>
      <c r="B1074" s="6" t="str">
        <f>HYPERLINK("http://www.ncbi.nlm.nih.gov/gene/217944", "217944")</f>
        <v>217944</v>
      </c>
      <c r="C1074" s="6" t="str">
        <f>HYPERLINK("http://www.ncbi.nlm.nih.gov/gene/9771", "9771")</f>
        <v>9771</v>
      </c>
      <c r="D1074" t="str">
        <f>"Rapgef5"</f>
        <v>Rapgef5</v>
      </c>
      <c r="E1074" t="s">
        <v>3297</v>
      </c>
      <c r="F1074" t="s">
        <v>3301</v>
      </c>
      <c r="H1074" s="521">
        <v>7</v>
      </c>
      <c r="I1074" s="229">
        <v>6.1988041416483499</v>
      </c>
      <c r="J1074" s="364">
        <v>5.8841897239345702</v>
      </c>
      <c r="K1074" s="420">
        <v>6.1552913246075001</v>
      </c>
      <c r="L1074" s="2519">
        <v>6.1404142319379504</v>
      </c>
      <c r="M1074" s="962">
        <v>6.0307550588787802</v>
      </c>
      <c r="N1074" s="844">
        <v>6.0117500053289001</v>
      </c>
      <c r="O1074" s="1641">
        <v>3.9022436717885798</v>
      </c>
      <c r="P1074" s="1671">
        <v>3.89044241156502</v>
      </c>
      <c r="Q1074" s="2578">
        <v>3.73321042594839</v>
      </c>
      <c r="R1074" s="1251">
        <v>5.4074916615471302</v>
      </c>
      <c r="S1074" s="751">
        <v>5.3698717955826796</v>
      </c>
      <c r="T1074" s="716">
        <v>5.0329380443606899</v>
      </c>
    </row>
    <row r="1075" spans="1:20">
      <c r="A1075" t="s">
        <v>3302</v>
      </c>
      <c r="B1075" s="6" t="str">
        <f>HYPERLINK("http://www.ncbi.nlm.nih.gov/gene/98682", "98682")</f>
        <v>98682</v>
      </c>
      <c r="C1075" s="6" t="str">
        <f>HYPERLINK("http://www.ncbi.nlm.nih.gov/gene/54842", "54842")</f>
        <v>54842</v>
      </c>
      <c r="D1075" t="str">
        <f>"Mfsd6"</f>
        <v>Mfsd6</v>
      </c>
      <c r="E1075" t="s">
        <v>3303</v>
      </c>
      <c r="F1075" t="s">
        <v>1104</v>
      </c>
      <c r="H1075" s="521">
        <v>7</v>
      </c>
      <c r="I1075" s="359">
        <v>7.4069891638455996</v>
      </c>
      <c r="J1075" s="298">
        <v>7.26987751412896</v>
      </c>
      <c r="K1075" s="293">
        <v>7.3309345711679903</v>
      </c>
      <c r="L1075" s="2580">
        <v>7.5504404773404801</v>
      </c>
      <c r="M1075" s="618">
        <v>7.75014925982574</v>
      </c>
      <c r="N1075" s="1220">
        <v>7.7243184309040398</v>
      </c>
      <c r="O1075" s="1590">
        <v>4.9445303431419498</v>
      </c>
      <c r="P1075" s="1649">
        <v>4.6571148921688899</v>
      </c>
      <c r="Q1075" s="2488">
        <v>4.9305043804401603</v>
      </c>
      <c r="R1075" s="910">
        <v>6.2141156064695</v>
      </c>
      <c r="S1075" s="676">
        <v>6.1080473686750603</v>
      </c>
      <c r="T1075" s="615">
        <v>6.1224559882792802</v>
      </c>
    </row>
    <row r="1076" spans="1:20">
      <c r="A1076" t="s">
        <v>3304</v>
      </c>
      <c r="B1076" s="6" t="str">
        <f>HYPERLINK("http://www.ncbi.nlm.nih.gov/gene/14219", "14219")</f>
        <v>14219</v>
      </c>
      <c r="C1076" s="6" t="str">
        <f>HYPERLINK("http://www.ncbi.nlm.nih.gov/gene/1490", "1490")</f>
        <v>1490</v>
      </c>
      <c r="D1076" t="str">
        <f>"Ctgf"</f>
        <v>Ctgf</v>
      </c>
      <c r="E1076" t="s">
        <v>3305</v>
      </c>
      <c r="F1076" t="s">
        <v>3306</v>
      </c>
      <c r="H1076" s="521">
        <v>7</v>
      </c>
      <c r="I1076" s="375">
        <v>6.4784995164580899</v>
      </c>
      <c r="J1076" s="495">
        <v>6.2822459221537903</v>
      </c>
      <c r="K1076" s="431">
        <v>6.1257809368344303</v>
      </c>
      <c r="L1076" s="2607">
        <v>6.5989868651482499</v>
      </c>
      <c r="M1076" s="885">
        <v>6.5265240420734196</v>
      </c>
      <c r="N1076" s="951">
        <v>6.2425508292824201</v>
      </c>
      <c r="O1076" s="1711">
        <v>4.1864794437399802</v>
      </c>
      <c r="P1076" s="1584">
        <v>4.4343799813042901</v>
      </c>
      <c r="Q1076" s="2608">
        <v>4.2921182302196703</v>
      </c>
      <c r="R1076" s="1251">
        <v>5.7476292230817503</v>
      </c>
      <c r="S1076" s="636">
        <v>5.1736663675173196</v>
      </c>
      <c r="T1076" s="1522">
        <v>5.7871222549069303</v>
      </c>
    </row>
    <row r="1077" spans="1:20">
      <c r="A1077" t="s">
        <v>3307</v>
      </c>
      <c r="B1077" s="6" t="str">
        <f>HYPERLINK("http://www.ncbi.nlm.nih.gov/gene/545370", "545370")</f>
        <v>545370</v>
      </c>
      <c r="C1077" s="6" t="str">
        <f>HYPERLINK("http://www.ncbi.nlm.nih.gov/gene/83872", "83872")</f>
        <v>83872</v>
      </c>
      <c r="D1077" t="str">
        <f>"Hmcn1"</f>
        <v>Hmcn1</v>
      </c>
      <c r="E1077" t="s">
        <v>3308</v>
      </c>
      <c r="F1077" t="s">
        <v>3309</v>
      </c>
      <c r="H1077" s="521">
        <v>7</v>
      </c>
      <c r="I1077" s="395">
        <v>8.3508678195155799</v>
      </c>
      <c r="J1077" s="418">
        <v>8.2383442376961895</v>
      </c>
      <c r="K1077" s="501">
        <v>8.0892751589406497</v>
      </c>
      <c r="L1077" s="2609">
        <v>8.30075975867463</v>
      </c>
      <c r="M1077" s="536">
        <v>8.3097342228680695</v>
      </c>
      <c r="N1077" s="975">
        <v>8.2879899205158996</v>
      </c>
      <c r="O1077" s="1698">
        <v>5.7953554014892603</v>
      </c>
      <c r="P1077" s="1643">
        <v>5.9794169484491597</v>
      </c>
      <c r="Q1077" s="2610">
        <v>6.1266202631461404</v>
      </c>
      <c r="R1077" s="1454">
        <v>7.8392918601605004</v>
      </c>
      <c r="S1077" s="854">
        <v>7.3860274460403303</v>
      </c>
      <c r="T1077" s="646">
        <v>7.4965310143314898</v>
      </c>
    </row>
    <row r="1078" spans="1:20">
      <c r="A1078" t="s">
        <v>3310</v>
      </c>
      <c r="B1078" s="6" t="str">
        <f>HYPERLINK("http://www.ncbi.nlm.nih.gov/gene/104110", "104110")</f>
        <v>104110</v>
      </c>
      <c r="C1078" s="6" t="str">
        <f>HYPERLINK("http://www.ncbi.nlm.nih.gov/gene/196883", "196883")</f>
        <v>196883</v>
      </c>
      <c r="D1078" t="str">
        <f>"Adcy4"</f>
        <v>Adcy4</v>
      </c>
      <c r="E1078" t="s">
        <v>3327</v>
      </c>
      <c r="F1078" t="s">
        <v>3311</v>
      </c>
      <c r="G1078" t="s">
        <v>3312</v>
      </c>
      <c r="H1078" s="521">
        <v>7</v>
      </c>
      <c r="I1078" s="368">
        <v>6.6137667929296997</v>
      </c>
      <c r="J1078" s="258">
        <v>6.6101038261200404</v>
      </c>
      <c r="K1078" s="86">
        <v>6.6612284689473</v>
      </c>
      <c r="L1078" s="2187">
        <v>5.82877838346357</v>
      </c>
      <c r="M1078" s="796">
        <v>5.75402259819516</v>
      </c>
      <c r="N1078" s="820">
        <v>5.8624070117775604</v>
      </c>
      <c r="O1078" s="1648">
        <v>4.1016024914910796</v>
      </c>
      <c r="P1078" s="863">
        <v>4.32824509528663</v>
      </c>
      <c r="Q1078" s="2313">
        <v>3.9088557058587199</v>
      </c>
      <c r="R1078" s="550">
        <v>5.2654945400661397</v>
      </c>
      <c r="S1078" s="854">
        <v>5.3500410921444796</v>
      </c>
      <c r="T1078" s="1392">
        <v>5.4068676579375596</v>
      </c>
    </row>
    <row r="1079" spans="1:20">
      <c r="A1079" t="s">
        <v>3313</v>
      </c>
      <c r="B1079" s="6" t="str">
        <f>HYPERLINK("http://www.ncbi.nlm.nih.gov/gene/54712", "54712")</f>
        <v>54712</v>
      </c>
      <c r="C1079" s="6" t="str">
        <f>HYPERLINK("http://www.ncbi.nlm.nih.gov/gene/10154", "10154")</f>
        <v>10154</v>
      </c>
      <c r="D1079" t="str">
        <f>"Plxnc1"</f>
        <v>Plxnc1</v>
      </c>
      <c r="E1079" t="s">
        <v>3314</v>
      </c>
      <c r="F1079" t="s">
        <v>3315</v>
      </c>
      <c r="G1079" t="s">
        <v>604</v>
      </c>
      <c r="H1079" s="521">
        <v>7</v>
      </c>
      <c r="I1079" s="171">
        <v>6.0793668701253498</v>
      </c>
      <c r="J1079" s="379">
        <v>5.9948513823105598</v>
      </c>
      <c r="K1079" s="86">
        <v>6.2523320637752802</v>
      </c>
      <c r="L1079" s="2611">
        <v>5.3544419650319099</v>
      </c>
      <c r="M1079" s="842">
        <v>5.6955380248626897</v>
      </c>
      <c r="N1079" s="930">
        <v>5.9205391346590099</v>
      </c>
      <c r="O1079" s="1554">
        <v>3.9344653908095801</v>
      </c>
      <c r="P1079" s="1584">
        <v>3.7752438235049399</v>
      </c>
      <c r="Q1079" s="2612">
        <v>3.5309568707313099</v>
      </c>
      <c r="R1079" s="655">
        <v>4.7244007620327899</v>
      </c>
      <c r="S1079" s="1028">
        <v>4.8961873751968401</v>
      </c>
      <c r="T1079" s="1374">
        <v>4.6635426869483201</v>
      </c>
    </row>
    <row r="1080" spans="1:20">
      <c r="A1080" t="s">
        <v>3316</v>
      </c>
      <c r="B1080" s="6" t="str">
        <f>HYPERLINK("http://www.ncbi.nlm.nih.gov/gene/110173", "110173")</f>
        <v>110173</v>
      </c>
      <c r="C1080" s="6" t="str">
        <f>HYPERLINK("http://www.ncbi.nlm.nih.gov/gene/4126", "4126")</f>
        <v>4126</v>
      </c>
      <c r="D1080" t="str">
        <f>"Manba"</f>
        <v>Manba</v>
      </c>
      <c r="E1080" t="s">
        <v>3317</v>
      </c>
      <c r="F1080" t="s">
        <v>3318</v>
      </c>
      <c r="G1080" t="s">
        <v>3319</v>
      </c>
      <c r="H1080" s="521">
        <v>7</v>
      </c>
      <c r="I1080" s="261">
        <v>6.3496721793177899</v>
      </c>
      <c r="J1080" s="454">
        <v>6.3354023443626701</v>
      </c>
      <c r="K1080" s="30">
        <v>6.0859742565698598</v>
      </c>
      <c r="L1080" s="2539">
        <v>5.9827653179184797</v>
      </c>
      <c r="M1080" s="938">
        <v>6.2363645477938396</v>
      </c>
      <c r="N1080" s="890">
        <v>6.1988224125124303</v>
      </c>
      <c r="O1080" s="1713">
        <v>4.3960724162420703</v>
      </c>
      <c r="P1080" s="1653">
        <v>4.3078900406927501</v>
      </c>
      <c r="Q1080" s="2613">
        <v>4.0557734308922999</v>
      </c>
      <c r="R1080" s="627">
        <v>5.1812911887125903</v>
      </c>
      <c r="S1080" s="830">
        <v>5.4538465002991199</v>
      </c>
      <c r="T1080" s="1592">
        <v>5.2818193960627999</v>
      </c>
    </row>
    <row r="1081" spans="1:20">
      <c r="A1081" t="s">
        <v>3320</v>
      </c>
      <c r="B1081" s="6" t="str">
        <f>HYPERLINK("http://www.ncbi.nlm.nih.gov/gene/78103", "78103")</f>
        <v>78103</v>
      </c>
      <c r="C1081" s="6" t="str">
        <f>HYPERLINK("http://www.ncbi.nlm.nih.gov/gene/", "")</f>
        <v/>
      </c>
      <c r="D1081" t="str">
        <f>"8430431K14Rik"</f>
        <v>8430431K14Rik</v>
      </c>
      <c r="E1081" t="s">
        <v>3321</v>
      </c>
      <c r="H1081" s="521">
        <v>7</v>
      </c>
      <c r="I1081" s="258">
        <v>4.7462230022121199</v>
      </c>
      <c r="J1081" s="293">
        <v>4.3659345369796698</v>
      </c>
      <c r="K1081" s="395">
        <v>4.47163394662131</v>
      </c>
      <c r="L1081" s="2614">
        <v>3.8873521576817902</v>
      </c>
      <c r="M1081" s="966">
        <v>4.0837865515976404</v>
      </c>
      <c r="N1081" s="862">
        <v>4.31401573020496</v>
      </c>
      <c r="O1081" s="1714">
        <v>2.3385504996336399</v>
      </c>
      <c r="P1081" s="1694">
        <v>2.4591080479054002</v>
      </c>
      <c r="Q1081" s="2075">
        <v>3.0208133491104601</v>
      </c>
      <c r="R1081" s="912">
        <v>4.4192605944644603</v>
      </c>
      <c r="S1081" s="720">
        <v>3.8357948156213499</v>
      </c>
      <c r="T1081" s="691">
        <v>3.6972370270712802</v>
      </c>
    </row>
    <row r="1082" spans="1:20">
      <c r="A1082" t="s">
        <v>3322</v>
      </c>
      <c r="B1082" s="6" t="str">
        <f>HYPERLINK("http://www.ncbi.nlm.nih.gov/gene/245555", "245555")</f>
        <v>245555</v>
      </c>
      <c r="C1082" s="6" t="str">
        <f>HYPERLINK("http://www.ncbi.nlm.nih.gov/gene/340533", "340533")</f>
        <v>340533</v>
      </c>
      <c r="D1082" t="str">
        <f>"C77370"</f>
        <v>C77370</v>
      </c>
      <c r="E1082" t="s">
        <v>3323</v>
      </c>
      <c r="F1082" t="s">
        <v>3324</v>
      </c>
      <c r="H1082" s="521">
        <v>7</v>
      </c>
      <c r="I1082" s="431">
        <v>4.1425842985417098</v>
      </c>
      <c r="J1082" s="420">
        <v>4.3630783868233403</v>
      </c>
      <c r="K1082" s="448">
        <v>4.39254939359222</v>
      </c>
      <c r="L1082" s="2615">
        <v>3.88802554135748</v>
      </c>
      <c r="M1082" s="875">
        <v>4.1156960961597902</v>
      </c>
      <c r="N1082" s="938">
        <v>4.3654213810104201</v>
      </c>
      <c r="O1082" s="1692">
        <v>2.9273014054783002</v>
      </c>
      <c r="P1082" s="1169">
        <v>2.9280176845541401</v>
      </c>
      <c r="Q1082" s="2616">
        <v>2.8262934384228799</v>
      </c>
      <c r="R1082" s="956">
        <v>4.16147531306245</v>
      </c>
      <c r="S1082" s="827">
        <v>4.09107916838897</v>
      </c>
      <c r="T1082" s="782">
        <v>3.8669620734380201</v>
      </c>
    </row>
    <row r="1083" spans="1:20">
      <c r="A1083" t="s">
        <v>3325</v>
      </c>
      <c r="B1083" s="6" t="str">
        <f>HYPERLINK("http://www.ncbi.nlm.nih.gov/gene/19274", "19274")</f>
        <v>19274</v>
      </c>
      <c r="C1083" s="6" t="str">
        <f>HYPERLINK("http://www.ncbi.nlm.nih.gov/gene/5797", "5797")</f>
        <v>5797</v>
      </c>
      <c r="D1083" t="str">
        <f>"Ptprm"</f>
        <v>Ptprm</v>
      </c>
      <c r="E1083" t="s">
        <v>3326</v>
      </c>
      <c r="F1083" t="s">
        <v>3328</v>
      </c>
      <c r="G1083" t="s">
        <v>2723</v>
      </c>
      <c r="H1083" s="521">
        <v>7</v>
      </c>
      <c r="I1083" s="364">
        <v>7.4100283970646199</v>
      </c>
      <c r="J1083" s="315">
        <v>7.3124055554198204</v>
      </c>
      <c r="K1083" s="372">
        <v>7.2555788691234602</v>
      </c>
      <c r="L1083" s="2617">
        <v>7.5425586595011396</v>
      </c>
      <c r="M1083" s="842">
        <v>7.46643683010765</v>
      </c>
      <c r="N1083" s="909">
        <v>7.47755832312414</v>
      </c>
      <c r="O1083" s="1685">
        <v>5.1979503502740103</v>
      </c>
      <c r="P1083" s="1694">
        <v>5.1705540262832903</v>
      </c>
      <c r="Q1083" s="2618">
        <v>5.2703638786628204</v>
      </c>
      <c r="R1083" s="1250">
        <v>7.3771234993481496</v>
      </c>
      <c r="S1083" s="966">
        <v>7.1574764841313296</v>
      </c>
      <c r="T1083" s="935">
        <v>7.2871531801396898</v>
      </c>
    </row>
    <row r="1084" spans="1:20">
      <c r="A1084" t="s">
        <v>3329</v>
      </c>
      <c r="B1084" s="6" t="str">
        <f>HYPERLINK("http://www.ncbi.nlm.nih.gov/gene/227120", "227120")</f>
        <v>227120</v>
      </c>
      <c r="C1084" s="6" t="str">
        <f>HYPERLINK("http://www.ncbi.nlm.nih.gov/gene/5334", "5334")</f>
        <v>5334</v>
      </c>
      <c r="D1084" t="str">
        <f>"Plcl1"</f>
        <v>Plcl1</v>
      </c>
      <c r="E1084" t="s">
        <v>3330</v>
      </c>
      <c r="F1084" t="s">
        <v>3331</v>
      </c>
      <c r="H1084" s="521">
        <v>7</v>
      </c>
      <c r="I1084" s="422">
        <v>6.3124702448688303</v>
      </c>
      <c r="J1084" s="348">
        <v>6.4010855116490504</v>
      </c>
      <c r="K1084" s="326">
        <v>6.2761672979171603</v>
      </c>
      <c r="L1084" s="2617">
        <v>6.6634669350704998</v>
      </c>
      <c r="M1084" s="771">
        <v>6.6305838737871703</v>
      </c>
      <c r="N1084" s="970">
        <v>6.7633919050726501</v>
      </c>
      <c r="O1084" s="1716">
        <v>3.65825679841809</v>
      </c>
      <c r="P1084" s="1717">
        <v>3.8114686657243602</v>
      </c>
      <c r="Q1084" s="2619">
        <v>3.5150401200949499</v>
      </c>
      <c r="R1084" s="758">
        <v>6.3540918807995004</v>
      </c>
      <c r="S1084" s="766">
        <v>6.2405269071308203</v>
      </c>
      <c r="T1084" s="1708">
        <v>6.2103642140456099</v>
      </c>
    </row>
    <row r="1085" spans="1:20">
      <c r="A1085" t="s">
        <v>3332</v>
      </c>
      <c r="B1085" s="6" t="str">
        <f>HYPERLINK("http://www.ncbi.nlm.nih.gov/gene/16439", "16439")</f>
        <v>16439</v>
      </c>
      <c r="C1085" s="6" t="str">
        <f>HYPERLINK("http://www.ncbi.nlm.nih.gov/gene/3709", "3709")</f>
        <v>3709</v>
      </c>
      <c r="D1085" t="str">
        <f>"Itpr2"</f>
        <v>Itpr2</v>
      </c>
      <c r="E1085" t="s">
        <v>3333</v>
      </c>
      <c r="F1085" t="s">
        <v>3334</v>
      </c>
      <c r="G1085" t="s">
        <v>3335</v>
      </c>
      <c r="H1085" s="521">
        <v>7</v>
      </c>
      <c r="I1085" s="30">
        <v>6.9144361377450601</v>
      </c>
      <c r="J1085" s="30">
        <v>6.9102172516445703</v>
      </c>
      <c r="K1085" s="489">
        <v>7.0308883394211001</v>
      </c>
      <c r="L1085" s="2024">
        <v>6.7684293428937901</v>
      </c>
      <c r="M1085" s="1429">
        <v>6.8621908662114004</v>
      </c>
      <c r="N1085" s="901">
        <v>6.78193841812472</v>
      </c>
      <c r="O1085" s="1719">
        <v>4.9953163967014298</v>
      </c>
      <c r="P1085" s="1143">
        <v>5.4235484241173504</v>
      </c>
      <c r="Q1085" s="2620">
        <v>5.2129517454593097</v>
      </c>
      <c r="R1085" s="770">
        <v>6.6787550375949003</v>
      </c>
      <c r="S1085" s="1401">
        <v>6.45783544947097</v>
      </c>
      <c r="T1085" s="1561">
        <v>6.7184976017808804</v>
      </c>
    </row>
    <row r="1086" spans="1:20">
      <c r="A1086" t="s">
        <v>3336</v>
      </c>
      <c r="B1086" s="6" t="str">
        <f>HYPERLINK("http://www.ncbi.nlm.nih.gov/gene/22359", "22359")</f>
        <v>22359</v>
      </c>
      <c r="C1086" s="6" t="str">
        <f>HYPERLINK("http://www.ncbi.nlm.nih.gov/gene/7436", "7436")</f>
        <v>7436</v>
      </c>
      <c r="D1086" t="str">
        <f>"Vldlr"</f>
        <v>Vldlr</v>
      </c>
      <c r="E1086" t="s">
        <v>3337</v>
      </c>
      <c r="F1086" t="s">
        <v>3338</v>
      </c>
      <c r="H1086" s="521">
        <v>7</v>
      </c>
      <c r="I1086" s="414">
        <v>7.7930576202025099</v>
      </c>
      <c r="J1086" s="395">
        <v>7.80165150473516</v>
      </c>
      <c r="K1086" s="369">
        <v>7.8366384026013698</v>
      </c>
      <c r="L1086" s="2621">
        <v>7.5829668030522699</v>
      </c>
      <c r="M1086" s="1484">
        <v>7.6997025206177598</v>
      </c>
      <c r="N1086" s="961">
        <v>7.6299204802812302</v>
      </c>
      <c r="O1086" s="1696">
        <v>6.0397817901281501</v>
      </c>
      <c r="P1086" s="1671">
        <v>6.1582359835785097</v>
      </c>
      <c r="Q1086" s="2586">
        <v>6.0694548393142602</v>
      </c>
      <c r="R1086" s="1090">
        <v>7.3813589170896803</v>
      </c>
      <c r="S1086" s="751">
        <v>7.2522333364219502</v>
      </c>
      <c r="T1086" s="667">
        <v>7.2746536575949801</v>
      </c>
    </row>
    <row r="1087" spans="1:20">
      <c r="A1087" t="s">
        <v>3339</v>
      </c>
      <c r="B1087" s="6" t="str">
        <f>HYPERLINK("http://www.ncbi.nlm.nih.gov/gene/18186", "18186")</f>
        <v>18186</v>
      </c>
      <c r="C1087" s="6" t="str">
        <f>HYPERLINK("http://www.ncbi.nlm.nih.gov/gene/8829", "8829")</f>
        <v>8829</v>
      </c>
      <c r="D1087" t="str">
        <f>"Nrp1"</f>
        <v>Nrp1</v>
      </c>
      <c r="E1087" t="s">
        <v>3340</v>
      </c>
      <c r="F1087" t="s">
        <v>3341</v>
      </c>
      <c r="G1087" t="s">
        <v>604</v>
      </c>
      <c r="H1087" s="521">
        <v>7</v>
      </c>
      <c r="I1087" s="379">
        <v>8.1685073111878008</v>
      </c>
      <c r="J1087" s="340">
        <v>8.0049919280341992</v>
      </c>
      <c r="K1087" s="356">
        <v>7.9432386154688199</v>
      </c>
      <c r="L1087" s="2566">
        <v>7.8145860024381602</v>
      </c>
      <c r="M1087" s="527">
        <v>7.9886849856152304</v>
      </c>
      <c r="N1087" s="1430">
        <v>7.8786554999166096</v>
      </c>
      <c r="O1087" s="1720">
        <v>6.4510722485259899</v>
      </c>
      <c r="P1087" s="1721">
        <v>6.3173835131424898</v>
      </c>
      <c r="Q1087" s="2584">
        <v>6.4977560978201403</v>
      </c>
      <c r="R1087" s="966">
        <v>7.7444163261195502</v>
      </c>
      <c r="S1087" s="950">
        <v>7.7238814365746196</v>
      </c>
      <c r="T1087" s="828">
        <v>7.6352886505989304</v>
      </c>
    </row>
    <row r="1088" spans="1:20">
      <c r="A1088" t="s">
        <v>3363</v>
      </c>
      <c r="B1088" s="6" t="str">
        <f>HYPERLINK("http://www.ncbi.nlm.nih.gov/gene/66259", "66259")</f>
        <v>66259</v>
      </c>
      <c r="C1088" s="6" t="str">
        <f>HYPERLINK("http://www.ncbi.nlm.nih.gov/gene/55450", "55450")</f>
        <v>55450</v>
      </c>
      <c r="D1088" t="str">
        <f>"Camk2n1"</f>
        <v>Camk2n1</v>
      </c>
      <c r="E1088" t="s">
        <v>3364</v>
      </c>
      <c r="F1088" t="s">
        <v>3342</v>
      </c>
      <c r="H1088" s="521">
        <v>7</v>
      </c>
      <c r="I1088" s="464">
        <v>6.7938092794893903</v>
      </c>
      <c r="J1088" s="372">
        <v>6.8863808608565602</v>
      </c>
      <c r="K1088" s="302">
        <v>6.7706444944713997</v>
      </c>
      <c r="L1088" s="2542">
        <v>7.0045665347911497</v>
      </c>
      <c r="M1088" s="924">
        <v>6.9666808266885498</v>
      </c>
      <c r="N1088" s="732">
        <v>6.8023364362230003</v>
      </c>
      <c r="O1088" s="1639">
        <v>6.0475032285736496</v>
      </c>
      <c r="P1088" s="1643">
        <v>5.9254744165578597</v>
      </c>
      <c r="Q1088" s="2622">
        <v>5.7397589853570397</v>
      </c>
      <c r="R1088" s="848">
        <v>7.1047287055914898</v>
      </c>
      <c r="S1088" s="1429">
        <v>6.9776434732261396</v>
      </c>
      <c r="T1088" s="1631">
        <v>7.0742051260683398</v>
      </c>
    </row>
    <row r="1089" spans="1:20">
      <c r="A1089" t="s">
        <v>3343</v>
      </c>
      <c r="B1089" s="6" t="str">
        <f>HYPERLINK("http://www.ncbi.nlm.nih.gov/gene/320878", "320878")</f>
        <v>320878</v>
      </c>
      <c r="C1089" s="6" t="str">
        <f>HYPERLINK("http://www.ncbi.nlm.nih.gov/gene/9645", "9645")</f>
        <v>9645</v>
      </c>
      <c r="D1089" t="str">
        <f>"Mical2"</f>
        <v>Mical2</v>
      </c>
      <c r="E1089" t="s">
        <v>3344</v>
      </c>
      <c r="F1089" t="s">
        <v>3345</v>
      </c>
      <c r="H1089" s="521">
        <v>7</v>
      </c>
      <c r="I1089" s="427">
        <v>4.7790268115282997</v>
      </c>
      <c r="J1089" s="276">
        <v>5.0373079281112103</v>
      </c>
      <c r="K1089" s="320">
        <v>4.9904647293612099</v>
      </c>
      <c r="L1089" s="1973">
        <v>5.1116748462278299</v>
      </c>
      <c r="M1089" s="825">
        <v>5.03472424539782</v>
      </c>
      <c r="N1089" s="901">
        <v>5.0571371982177098</v>
      </c>
      <c r="O1089" s="1723">
        <v>3.6750984950455199</v>
      </c>
      <c r="P1089" s="1671">
        <v>3.6938789404894101</v>
      </c>
      <c r="Q1089" s="2623">
        <v>3.4661618644690999</v>
      </c>
      <c r="R1089" s="946">
        <v>5.1232372441348097</v>
      </c>
      <c r="S1089" s="1489">
        <v>5.4365518429001698</v>
      </c>
      <c r="T1089" s="1555">
        <v>5.0598280508369404</v>
      </c>
    </row>
    <row r="1090" spans="1:20">
      <c r="A1090" t="s">
        <v>3346</v>
      </c>
      <c r="B1090" s="6" t="str">
        <f>HYPERLINK("http://www.ncbi.nlm.nih.gov/gene/100043261", "100043261")</f>
        <v>100043261</v>
      </c>
      <c r="C1090" s="6" t="str">
        <f>HYPERLINK("http://www.ncbi.nlm.nih.gov/gene/", "")</f>
        <v/>
      </c>
      <c r="D1090" t="str">
        <f>"Gm4322"</f>
        <v>Gm4322</v>
      </c>
      <c r="E1090" t="s">
        <v>3347</v>
      </c>
      <c r="H1090" s="521">
        <v>7</v>
      </c>
      <c r="I1090" s="69">
        <v>4.1481714420902396</v>
      </c>
      <c r="J1090" s="339">
        <v>4.5843103471908497</v>
      </c>
      <c r="K1090" s="317">
        <v>4.65356669693284</v>
      </c>
      <c r="L1090" s="2527">
        <v>5.0266649262309002</v>
      </c>
      <c r="M1090" s="956">
        <v>4.7233688592234104</v>
      </c>
      <c r="N1090" s="1615">
        <v>4.8300620926242201</v>
      </c>
      <c r="O1090" s="1725">
        <v>2.8563967111440198</v>
      </c>
      <c r="P1090" s="727">
        <v>3.3306552487655199</v>
      </c>
      <c r="Q1090" s="2602">
        <v>3.1835076918665899</v>
      </c>
      <c r="R1090" s="806">
        <v>4.6522510792447802</v>
      </c>
      <c r="S1090" s="527">
        <v>4.84141867609938</v>
      </c>
      <c r="T1090" s="1470">
        <v>4.9169146535663604</v>
      </c>
    </row>
    <row r="1091" spans="1:20">
      <c r="A1091" t="s">
        <v>3348</v>
      </c>
      <c r="B1091" s="6" t="str">
        <f>HYPERLINK("http://www.ncbi.nlm.nih.gov/gene/208076", "208076")</f>
        <v>208076</v>
      </c>
      <c r="C1091" s="6" t="str">
        <f>HYPERLINK("http://www.ncbi.nlm.nih.gov/gene/63876", "63876")</f>
        <v>63876</v>
      </c>
      <c r="D1091" t="str">
        <f>"Pknox2"</f>
        <v>Pknox2</v>
      </c>
      <c r="E1091" t="s">
        <v>3349</v>
      </c>
      <c r="F1091" t="s">
        <v>3350</v>
      </c>
      <c r="H1091" s="521">
        <v>7</v>
      </c>
      <c r="I1091" s="494">
        <v>6.6606676902472204</v>
      </c>
      <c r="J1091" s="406">
        <v>6.6382280835542797</v>
      </c>
      <c r="K1091" s="388">
        <v>6.57266050185937</v>
      </c>
      <c r="L1091" s="2568">
        <v>6.3143490959265396</v>
      </c>
      <c r="M1091" s="1454">
        <v>6.4375874107514504</v>
      </c>
      <c r="N1091" s="895">
        <v>6.6469591166394899</v>
      </c>
      <c r="O1091" s="1687">
        <v>5.5255180212414103</v>
      </c>
      <c r="P1091" s="1666">
        <v>5.5232997833745401</v>
      </c>
      <c r="Q1091" s="2606">
        <v>5.4833624917994097</v>
      </c>
      <c r="R1091" s="1452">
        <v>6.4936009201664904</v>
      </c>
      <c r="S1091" s="901">
        <v>6.5343646925901497</v>
      </c>
      <c r="T1091" s="759">
        <v>6.5797045555765203</v>
      </c>
    </row>
    <row r="1092" spans="1:20">
      <c r="A1092" t="s">
        <v>3351</v>
      </c>
      <c r="B1092" s="6" t="str">
        <f>HYPERLINK("http://www.ncbi.nlm.nih.gov/gene/230815", "230815")</f>
        <v>230815</v>
      </c>
      <c r="C1092" s="6" t="str">
        <f>HYPERLINK("http://www.ncbi.nlm.nih.gov/gene/57134", "57134")</f>
        <v>57134</v>
      </c>
      <c r="D1092" t="str">
        <f>"Man1c1"</f>
        <v>Man1c1</v>
      </c>
      <c r="E1092" t="s">
        <v>3352</v>
      </c>
      <c r="F1092" t="s">
        <v>3353</v>
      </c>
      <c r="G1092" t="s">
        <v>3162</v>
      </c>
      <c r="H1092" s="521">
        <v>7</v>
      </c>
      <c r="I1092" s="395">
        <v>7.9939873517151501</v>
      </c>
      <c r="J1092" s="348">
        <v>7.6866385938214599</v>
      </c>
      <c r="K1092" s="246">
        <v>7.7035302435007003</v>
      </c>
      <c r="L1092" s="2611">
        <v>7.4639714645507302</v>
      </c>
      <c r="M1092" s="939">
        <v>7.4417132844017697</v>
      </c>
      <c r="N1092" s="763">
        <v>7.5233657581154896</v>
      </c>
      <c r="O1092" s="1726">
        <v>5.7778179086884096</v>
      </c>
      <c r="P1092" s="1682">
        <v>5.7467598915024798</v>
      </c>
      <c r="Q1092" s="2624">
        <v>5.2809455301449999</v>
      </c>
      <c r="R1092" s="1457">
        <v>7.8398200132029396</v>
      </c>
      <c r="S1092" s="888">
        <v>7.9426438975550102</v>
      </c>
      <c r="T1092" s="1613">
        <v>7.6447564789187901</v>
      </c>
    </row>
    <row r="1093" spans="1:20">
      <c r="A1093" t="s">
        <v>3354</v>
      </c>
      <c r="B1093" s="6" t="str">
        <f>HYPERLINK("http://www.ncbi.nlm.nih.gov/gene/20496", "20496")</f>
        <v>20496</v>
      </c>
      <c r="C1093" s="6" t="str">
        <f>HYPERLINK("http://www.ncbi.nlm.nih.gov/gene/6558", "6558")</f>
        <v>6558</v>
      </c>
      <c r="D1093" t="str">
        <f>"Slc12a2"</f>
        <v>Slc12a2</v>
      </c>
      <c r="E1093" t="s">
        <v>3355</v>
      </c>
      <c r="F1093" t="s">
        <v>3356</v>
      </c>
      <c r="G1093" t="s">
        <v>3357</v>
      </c>
      <c r="H1093" s="521">
        <v>7</v>
      </c>
      <c r="I1093" s="413">
        <v>9.1376725133116796</v>
      </c>
      <c r="J1093" s="406">
        <v>9.0705024938520395</v>
      </c>
      <c r="K1093" s="388">
        <v>8.9669937434522797</v>
      </c>
      <c r="L1093" s="2120">
        <v>8.6606238231256203</v>
      </c>
      <c r="M1093" s="950">
        <v>8.7320976636016603</v>
      </c>
      <c r="N1093" s="770">
        <v>8.7955988014947692</v>
      </c>
      <c r="O1093" s="1728">
        <v>7.1504323440858197</v>
      </c>
      <c r="P1093" s="1620">
        <v>7.3735323365389798</v>
      </c>
      <c r="Q1093" s="2606">
        <v>7.1974649698122199</v>
      </c>
      <c r="R1093" s="1429">
        <v>8.9844143649923502</v>
      </c>
      <c r="S1093" s="1615">
        <v>9.0252313820115493</v>
      </c>
      <c r="T1093" s="935">
        <v>8.8577376456064307</v>
      </c>
    </row>
    <row r="1094" spans="1:20">
      <c r="A1094" t="s">
        <v>3358</v>
      </c>
      <c r="B1094" s="6" t="str">
        <f>HYPERLINK("http://www.ncbi.nlm.nih.gov/gene/26938", "26938")</f>
        <v>26938</v>
      </c>
      <c r="C1094" s="6" t="str">
        <f>HYPERLINK("http://www.ncbi.nlm.nih.gov/gene/81849", "81849")</f>
        <v>81849</v>
      </c>
      <c r="D1094" t="str">
        <f>"St6galnac5"</f>
        <v>St6galnac5</v>
      </c>
      <c r="E1094" t="s">
        <v>3359</v>
      </c>
      <c r="F1094" t="s">
        <v>3360</v>
      </c>
      <c r="G1094" t="s">
        <v>1164</v>
      </c>
      <c r="H1094" s="521">
        <v>7</v>
      </c>
      <c r="I1094" s="364">
        <v>4.9866022585640097</v>
      </c>
      <c r="J1094" s="448">
        <v>5.25620798247314</v>
      </c>
      <c r="K1094" s="255">
        <v>4.7215053441515398</v>
      </c>
      <c r="L1094" s="2611">
        <v>4.7518434201687301</v>
      </c>
      <c r="M1094" s="751">
        <v>4.5572611752827301</v>
      </c>
      <c r="N1094" s="1414">
        <v>4.9761537752260301</v>
      </c>
      <c r="O1094" s="1595">
        <v>3.7393767685392398</v>
      </c>
      <c r="P1094" s="1704">
        <v>2.7547899405757601</v>
      </c>
      <c r="Q1094" s="2584">
        <v>3.2951974387539398</v>
      </c>
      <c r="R1094" s="819">
        <v>4.8665773523964004</v>
      </c>
      <c r="S1094" s="1504">
        <v>5.25763851999689</v>
      </c>
      <c r="T1094" s="1555">
        <v>4.9296211682179996</v>
      </c>
    </row>
    <row r="1095" spans="1:20">
      <c r="A1095" t="s">
        <v>3361</v>
      </c>
      <c r="B1095" s="6" t="str">
        <f>HYPERLINK("http://www.ncbi.nlm.nih.gov/gene/17311", "17311")</f>
        <v>17311</v>
      </c>
      <c r="C1095" s="6" t="str">
        <f>HYPERLINK("http://www.ncbi.nlm.nih.gov/gene/4254", "4254")</f>
        <v>4254</v>
      </c>
      <c r="D1095" t="str">
        <f>"Kitl"</f>
        <v>Kitl</v>
      </c>
      <c r="E1095" t="s">
        <v>3362</v>
      </c>
      <c r="F1095" t="s">
        <v>3365</v>
      </c>
      <c r="G1095" t="s">
        <v>3366</v>
      </c>
      <c r="H1095" s="521">
        <v>7</v>
      </c>
      <c r="I1095" s="242">
        <v>6.39754287775318</v>
      </c>
      <c r="J1095" s="319">
        <v>6.5615642733819302</v>
      </c>
      <c r="K1095" s="438">
        <v>6.7040618223428501</v>
      </c>
      <c r="L1095" s="2564">
        <v>6.7479575387014403</v>
      </c>
      <c r="M1095" s="763">
        <v>6.61703362304912</v>
      </c>
      <c r="N1095" s="1145">
        <v>7.0562395776284603</v>
      </c>
      <c r="O1095" s="1662">
        <v>5.81676214418877</v>
      </c>
      <c r="P1095" s="1694">
        <v>5.6144721086308698</v>
      </c>
      <c r="Q1095" s="2625">
        <v>5.6038973026464998</v>
      </c>
      <c r="R1095" s="955">
        <v>6.6397858397549001</v>
      </c>
      <c r="S1095" s="888">
        <v>6.8248524091053104</v>
      </c>
      <c r="T1095" s="1621">
        <v>6.6818799228754102</v>
      </c>
    </row>
    <row r="1096" spans="1:20">
      <c r="A1096" t="s">
        <v>3367</v>
      </c>
      <c r="B1096" s="6" t="str">
        <f>HYPERLINK("http://www.ncbi.nlm.nih.gov/gene/73341", "73341")</f>
        <v>73341</v>
      </c>
      <c r="C1096" s="6" t="str">
        <f>HYPERLINK("http://www.ncbi.nlm.nih.gov/gene/9459", "9459")</f>
        <v>9459</v>
      </c>
      <c r="D1096" t="str">
        <f>"Arhgef6"</f>
        <v>Arhgef6</v>
      </c>
      <c r="E1096" t="s">
        <v>3368</v>
      </c>
      <c r="F1096" t="s">
        <v>3369</v>
      </c>
      <c r="G1096" t="s">
        <v>3370</v>
      </c>
      <c r="H1096" s="521">
        <v>7</v>
      </c>
      <c r="I1096" s="500">
        <v>4.2100529115920402</v>
      </c>
      <c r="J1096" s="38">
        <v>3.7365452351075601</v>
      </c>
      <c r="K1096" s="362">
        <v>4.2508622672355099</v>
      </c>
      <c r="L1096" s="2539">
        <v>4.1459435166245804</v>
      </c>
      <c r="M1096" s="1414">
        <v>4.1479602555646604</v>
      </c>
      <c r="N1096" s="938">
        <v>4.3295175616989203</v>
      </c>
      <c r="O1096" s="1678">
        <v>2.8594555552293999</v>
      </c>
      <c r="P1096" s="1729">
        <v>2.8329343427175901</v>
      </c>
      <c r="Q1096" s="2626">
        <v>2.7506770665320701</v>
      </c>
      <c r="R1096" s="778">
        <v>3.8593041697612702</v>
      </c>
      <c r="S1096" s="961">
        <v>4.1597848136423297</v>
      </c>
      <c r="T1096" s="1731">
        <v>4.2121205210786998</v>
      </c>
    </row>
    <row r="1097" spans="1:20">
      <c r="A1097" t="s">
        <v>3371</v>
      </c>
      <c r="B1097" s="6" t="str">
        <f>HYPERLINK("http://www.ncbi.nlm.nih.gov/gene/406217", "406217")</f>
        <v>406217</v>
      </c>
      <c r="C1097" s="6" t="str">
        <f>HYPERLINK("http://www.ncbi.nlm.nih.gov/gene/56271", "56271")</f>
        <v>56271</v>
      </c>
      <c r="D1097" t="str">
        <f>"Bex4"</f>
        <v>Bex4</v>
      </c>
      <c r="E1097" t="s">
        <v>3372</v>
      </c>
      <c r="F1097" t="s">
        <v>3381</v>
      </c>
      <c r="H1097" s="521">
        <v>7</v>
      </c>
      <c r="I1097" s="307">
        <v>4.8469741827678101</v>
      </c>
      <c r="J1097" s="501">
        <v>5.1401988449544396</v>
      </c>
      <c r="K1097" s="360">
        <v>5.5545363085429598</v>
      </c>
      <c r="L1097" s="2617">
        <v>5.2908043202341002</v>
      </c>
      <c r="M1097" s="764">
        <v>4.8846670129558003</v>
      </c>
      <c r="N1097" s="918">
        <v>5.5521698306293299</v>
      </c>
      <c r="O1097" s="1732">
        <v>3.53309119796744</v>
      </c>
      <c r="P1097" s="1704">
        <v>2.3475493385761901</v>
      </c>
      <c r="Q1097" s="2594">
        <v>3.1657753838993199</v>
      </c>
      <c r="R1097" s="1254">
        <v>4.5289273569097004</v>
      </c>
      <c r="S1097" s="763">
        <v>4.9235476663405304</v>
      </c>
      <c r="T1097" s="1500">
        <v>4.8772403277686998</v>
      </c>
    </row>
    <row r="1098" spans="1:20">
      <c r="A1098" t="s">
        <v>3382</v>
      </c>
      <c r="B1098" s="6" t="str">
        <f>HYPERLINK("http://www.ncbi.nlm.nih.gov/gene/66212", "66212")</f>
        <v>66212</v>
      </c>
      <c r="C1098" s="6" t="str">
        <f>HYPERLINK("http://www.ncbi.nlm.nih.gov/gene/10952", "10952")</f>
        <v>10952</v>
      </c>
      <c r="D1098" t="str">
        <f>"Sec61b"</f>
        <v>Sec61b</v>
      </c>
      <c r="E1098" t="s">
        <v>3383</v>
      </c>
      <c r="F1098" t="s">
        <v>3384</v>
      </c>
      <c r="G1098" t="s">
        <v>3385</v>
      </c>
      <c r="H1098" s="522">
        <v>8</v>
      </c>
      <c r="I1098" s="311">
        <v>6.4125145393895897</v>
      </c>
      <c r="J1098" s="30">
        <v>7.0597838024269404</v>
      </c>
      <c r="K1098" s="408">
        <v>6.8932435738518896</v>
      </c>
      <c r="L1098" s="1998">
        <v>6.6061219049058799</v>
      </c>
      <c r="M1098" s="658">
        <v>6.7184881631445297</v>
      </c>
      <c r="N1098" s="993">
        <v>6.4154369886904199</v>
      </c>
      <c r="O1098" s="557">
        <v>7.6302538096291297</v>
      </c>
      <c r="P1098" s="755">
        <v>7.3338321371444799</v>
      </c>
      <c r="Q1098" s="2627">
        <v>7.0050204576397697</v>
      </c>
      <c r="R1098" s="1289">
        <v>6.3395225173421803</v>
      </c>
      <c r="S1098" s="1167">
        <v>6.3005638250547298</v>
      </c>
      <c r="T1098" s="684">
        <v>6.3778515553156101</v>
      </c>
    </row>
    <row r="1099" spans="1:20">
      <c r="A1099" t="s">
        <v>3386</v>
      </c>
      <c r="B1099" s="6" t="str">
        <f>HYPERLINK("http://www.ncbi.nlm.nih.gov/gene/73166", "73166")</f>
        <v>73166</v>
      </c>
      <c r="C1099" s="6" t="str">
        <f>HYPERLINK("http://www.ncbi.nlm.nih.gov/gene/7108", "7108")</f>
        <v>7108</v>
      </c>
      <c r="D1099" t="str">
        <f>"Tm7sf2"</f>
        <v>Tm7sf2</v>
      </c>
      <c r="E1099" t="s">
        <v>3387</v>
      </c>
      <c r="F1099" t="s">
        <v>3388</v>
      </c>
      <c r="G1099" t="s">
        <v>3389</v>
      </c>
      <c r="H1099" s="522">
        <v>8</v>
      </c>
      <c r="I1099" s="70">
        <v>6.5100671695367396</v>
      </c>
      <c r="J1099" s="474">
        <v>6.7717017577879099</v>
      </c>
      <c r="K1099" s="307">
        <v>6.7816068973375296</v>
      </c>
      <c r="L1099" s="2204">
        <v>6.4412089654281797</v>
      </c>
      <c r="M1099" s="595">
        <v>6.4442540196688496</v>
      </c>
      <c r="N1099" s="699">
        <v>6.4822090175234601</v>
      </c>
      <c r="O1099" s="1733">
        <v>7.4821611364350398</v>
      </c>
      <c r="P1099" s="837">
        <v>7.3353447248882597</v>
      </c>
      <c r="Q1099" s="2628">
        <v>7.1153390632567097</v>
      </c>
      <c r="R1099" s="1188">
        <v>6.1990268361266203</v>
      </c>
      <c r="S1099" s="1029">
        <v>6.2098049692130903</v>
      </c>
      <c r="T1099" s="1734">
        <v>5.9378597719847503</v>
      </c>
    </row>
    <row r="1100" spans="1:20">
      <c r="A1100" t="s">
        <v>3390</v>
      </c>
      <c r="B1100" s="6" t="str">
        <f>HYPERLINK("http://www.ncbi.nlm.nih.gov/gene/14726", "14726")</f>
        <v>14726</v>
      </c>
      <c r="C1100" s="6" t="str">
        <f>HYPERLINK("http://www.ncbi.nlm.nih.gov/gene/10630", "10630")</f>
        <v>10630</v>
      </c>
      <c r="D1100" t="str">
        <f>"Pdpn"</f>
        <v>Pdpn</v>
      </c>
      <c r="E1100" t="s">
        <v>3391</v>
      </c>
      <c r="F1100" t="s">
        <v>3399</v>
      </c>
      <c r="H1100" s="522">
        <v>8</v>
      </c>
      <c r="I1100" s="31">
        <v>6.7422638581535503</v>
      </c>
      <c r="J1100" s="286">
        <v>7.0603427787107096</v>
      </c>
      <c r="K1100" s="408">
        <v>6.9976873561399202</v>
      </c>
      <c r="L1100" s="2068">
        <v>6.3569877336282499</v>
      </c>
      <c r="M1100" s="662">
        <v>6.3695796890021903</v>
      </c>
      <c r="N1100" s="1439">
        <v>6.0991049269527498</v>
      </c>
      <c r="O1100" s="692">
        <v>7.8499474188823797</v>
      </c>
      <c r="P1100" s="1252">
        <v>7.71358577423337</v>
      </c>
      <c r="Q1100" s="1953">
        <v>7.81963844138824</v>
      </c>
      <c r="R1100" s="997">
        <v>6.1906354640911001</v>
      </c>
      <c r="S1100" s="1188">
        <v>6.1390990958993603</v>
      </c>
      <c r="T1100" s="1379">
        <v>6.0927357735245398</v>
      </c>
    </row>
    <row r="1101" spans="1:20">
      <c r="A1101" t="s">
        <v>3400</v>
      </c>
      <c r="B1101" s="6" t="str">
        <f>HYPERLINK("http://www.ncbi.nlm.nih.gov/gene/667281", "667281")</f>
        <v>667281</v>
      </c>
      <c r="C1101" s="6" t="str">
        <f>HYPERLINK("http://www.ncbi.nlm.nih.gov/gene/", "")</f>
        <v/>
      </c>
      <c r="D1101" t="str">
        <f>"H60b"</f>
        <v>H60b</v>
      </c>
      <c r="E1101" t="s">
        <v>3401</v>
      </c>
      <c r="F1101" t="s">
        <v>3402</v>
      </c>
      <c r="H1101" s="522">
        <v>8</v>
      </c>
      <c r="I1101" s="310">
        <v>6.1428073938327898</v>
      </c>
      <c r="J1101" s="377">
        <v>6.8397701572524197</v>
      </c>
      <c r="K1101" s="282">
        <v>6.5504524313803403</v>
      </c>
      <c r="L1101" s="2629">
        <v>5.11607259172958</v>
      </c>
      <c r="M1101" s="663">
        <v>5.2008033538474701</v>
      </c>
      <c r="N1101" s="864">
        <v>4.9938443282626901</v>
      </c>
      <c r="O1101" s="628">
        <v>8.1061083117765396</v>
      </c>
      <c r="P1101" s="756">
        <v>7.9730876647491602</v>
      </c>
      <c r="Q1101" s="1918">
        <v>8.0876332837628109</v>
      </c>
      <c r="R1101" s="703">
        <v>4.5950713154534197</v>
      </c>
      <c r="S1101" s="1281">
        <v>4.8276236034962299</v>
      </c>
      <c r="T1101" s="870">
        <v>4.6455289289324098</v>
      </c>
    </row>
    <row r="1102" spans="1:20">
      <c r="A1102" t="s">
        <v>3403</v>
      </c>
      <c r="B1102" s="6" t="str">
        <f>HYPERLINK("http://www.ncbi.nlm.nih.gov/gene/67305", "67305")</f>
        <v>67305</v>
      </c>
      <c r="C1102" s="6" t="str">
        <f>HYPERLINK("http://www.ncbi.nlm.nih.gov/gene/2882", "2882")</f>
        <v>2882</v>
      </c>
      <c r="D1102" t="str">
        <f>"Gpx7"</f>
        <v>Gpx7</v>
      </c>
      <c r="E1102" t="s">
        <v>3373</v>
      </c>
      <c r="F1102" t="s">
        <v>3374</v>
      </c>
      <c r="G1102" t="s">
        <v>3375</v>
      </c>
      <c r="H1102" s="522">
        <v>8</v>
      </c>
      <c r="I1102" s="286">
        <v>7.0312516236641001</v>
      </c>
      <c r="J1102" s="431">
        <v>7.0963419371906298</v>
      </c>
      <c r="K1102" s="308">
        <v>6.8972885538879902</v>
      </c>
      <c r="L1102" s="2029">
        <v>6.4854134520135398</v>
      </c>
      <c r="M1102" s="592">
        <v>6.5304014728133497</v>
      </c>
      <c r="N1102" s="1558">
        <v>6.0166806997125999</v>
      </c>
      <c r="O1102" s="606">
        <v>7.6819334695730097</v>
      </c>
      <c r="P1102" s="1252">
        <v>7.5618951981287603</v>
      </c>
      <c r="Q1102" s="1926">
        <v>7.47456020693906</v>
      </c>
      <c r="R1102" s="1007">
        <v>6.3714334735749798</v>
      </c>
      <c r="S1102" s="1188">
        <v>6.2854822893143103</v>
      </c>
      <c r="T1102" s="1363">
        <v>6.2858748256244104</v>
      </c>
    </row>
    <row r="1103" spans="1:20">
      <c r="A1103" t="s">
        <v>3376</v>
      </c>
      <c r="B1103" s="6" t="str">
        <f>HYPERLINK("http://www.ncbi.nlm.nih.gov/gene/57754", "57754")</f>
        <v>57754</v>
      </c>
      <c r="C1103" s="6" t="str">
        <f>HYPERLINK("http://www.ncbi.nlm.nih.gov/gene/51286", "51286")</f>
        <v>51286</v>
      </c>
      <c r="D1103" t="str">
        <f>"Cend1"</f>
        <v>Cend1</v>
      </c>
      <c r="E1103" t="s">
        <v>3377</v>
      </c>
      <c r="F1103" t="s">
        <v>3378</v>
      </c>
      <c r="H1103" s="522">
        <v>8</v>
      </c>
      <c r="I1103" s="300">
        <v>3.77616917531916</v>
      </c>
      <c r="J1103" s="383">
        <v>4.1614515934345597</v>
      </c>
      <c r="K1103" s="320">
        <v>3.9855482512029301</v>
      </c>
      <c r="L1103" s="2326">
        <v>3.2221538264140999</v>
      </c>
      <c r="M1103" s="1226">
        <v>3.7826403171803098</v>
      </c>
      <c r="N1103" s="1147">
        <v>3.1846059367308399</v>
      </c>
      <c r="O1103" s="628">
        <v>4.5187541985817701</v>
      </c>
      <c r="P1103" s="1220">
        <v>4.3094952225348004</v>
      </c>
      <c r="Q1103" s="2630">
        <v>4.4175832660605296</v>
      </c>
      <c r="R1103" s="604">
        <v>3.5486241892652801</v>
      </c>
      <c r="S1103" s="1563">
        <v>3.0798585797944602</v>
      </c>
      <c r="T1103" s="1369">
        <v>3.2355729665664099</v>
      </c>
    </row>
    <row r="1104" spans="1:20">
      <c r="A1104" t="s">
        <v>3379</v>
      </c>
      <c r="B1104" s="6" t="str">
        <f>HYPERLINK("http://www.ncbi.nlm.nih.gov/gene/170677", "170677")</f>
        <v>170677</v>
      </c>
      <c r="C1104" s="6" t="str">
        <f>HYPERLINK("http://www.ncbi.nlm.nih.gov/gene/92211", "92211")</f>
        <v>92211</v>
      </c>
      <c r="D1104" t="str">
        <f>"Cdhr1"</f>
        <v>Cdhr1</v>
      </c>
      <c r="E1104" t="s">
        <v>3380</v>
      </c>
      <c r="F1104" t="s">
        <v>3410</v>
      </c>
      <c r="H1104" s="522">
        <v>8</v>
      </c>
      <c r="I1104" s="133">
        <v>3.5556367746185402</v>
      </c>
      <c r="J1104" s="501">
        <v>3.9111876654548898</v>
      </c>
      <c r="K1104" s="235">
        <v>3.6770252520918301</v>
      </c>
      <c r="L1104" s="1937">
        <v>3.14443536199065</v>
      </c>
      <c r="M1104" s="1215">
        <v>3.5167049841682898</v>
      </c>
      <c r="N1104" s="561">
        <v>3.2477709678628299</v>
      </c>
      <c r="O1104" s="668">
        <v>4.4603404870451602</v>
      </c>
      <c r="P1104" s="1145">
        <v>4.2532587812403202</v>
      </c>
      <c r="Q1104" s="1984">
        <v>4.1766410520474997</v>
      </c>
      <c r="R1104" s="1181">
        <v>3.2314281234138198</v>
      </c>
      <c r="S1104" s="1694">
        <v>2.7704013314093299</v>
      </c>
      <c r="T1104" s="551">
        <v>3.4782888760179</v>
      </c>
    </row>
    <row r="1105" spans="1:20">
      <c r="A1105" t="s">
        <v>3411</v>
      </c>
      <c r="B1105" s="6" t="str">
        <f>HYPERLINK("http://www.ncbi.nlm.nih.gov/gene/207182", "207182")</f>
        <v>207182</v>
      </c>
      <c r="C1105" s="6" t="str">
        <f>HYPERLINK("http://www.ncbi.nlm.nih.gov/gene/2686", "2686")</f>
        <v>2686</v>
      </c>
      <c r="D1105" t="str">
        <f>"Ggt7"</f>
        <v>Ggt7</v>
      </c>
      <c r="E1105" t="s">
        <v>3412</v>
      </c>
      <c r="F1105" t="s">
        <v>3413</v>
      </c>
      <c r="G1105" t="s">
        <v>3414</v>
      </c>
      <c r="H1105" s="522">
        <v>8</v>
      </c>
      <c r="I1105" s="140">
        <v>4.2460110507325002</v>
      </c>
      <c r="J1105" s="451">
        <v>4.5556119114621501</v>
      </c>
      <c r="K1105" s="163">
        <v>4.2658052123649304</v>
      </c>
      <c r="L1105" s="2098">
        <v>3.4772691468485299</v>
      </c>
      <c r="M1105" s="610">
        <v>3.8500697646822699</v>
      </c>
      <c r="N1105" s="992">
        <v>3.67109519420345</v>
      </c>
      <c r="O1105" s="1735">
        <v>5.2455962359471</v>
      </c>
      <c r="P1105" s="707">
        <v>5.0294924170436799</v>
      </c>
      <c r="Q1105" s="2025">
        <v>4.4710286297766704</v>
      </c>
      <c r="R1105" s="604">
        <v>3.9133238723709298</v>
      </c>
      <c r="S1105" s="1556">
        <v>3.4243588133199601</v>
      </c>
      <c r="T1105" s="1397">
        <v>3.8090050164805298</v>
      </c>
    </row>
    <row r="1106" spans="1:20">
      <c r="A1106" t="s">
        <v>3415</v>
      </c>
      <c r="B1106" s="6" t="str">
        <f>HYPERLINK("http://www.ncbi.nlm.nih.gov/gene/13386", "13386")</f>
        <v>13386</v>
      </c>
      <c r="C1106" s="6" t="str">
        <f>HYPERLINK("http://www.ncbi.nlm.nih.gov/gene/8788", "8788")</f>
        <v>8788</v>
      </c>
      <c r="D1106" t="str">
        <f>"Dlk1"</f>
        <v>Dlk1</v>
      </c>
      <c r="E1106" t="s">
        <v>3416</v>
      </c>
      <c r="F1106" t="s">
        <v>3392</v>
      </c>
      <c r="H1106" s="522">
        <v>8</v>
      </c>
      <c r="I1106" s="209">
        <v>8.5477159680830894</v>
      </c>
      <c r="J1106" s="227">
        <v>8.4910866352506993</v>
      </c>
      <c r="K1106" s="76">
        <v>8.5970535022054708</v>
      </c>
      <c r="L1106" s="2220">
        <v>8.3447932983153699</v>
      </c>
      <c r="M1106" s="595">
        <v>8.3842867453194803</v>
      </c>
      <c r="N1106" s="1153">
        <v>8.1238565057111796</v>
      </c>
      <c r="O1106" s="677">
        <v>9.3445232019884497</v>
      </c>
      <c r="P1106" s="1022">
        <v>9.2927485133049395</v>
      </c>
      <c r="Q1106" s="1899">
        <v>9.1879922048774105</v>
      </c>
      <c r="R1106" s="1010">
        <v>8.0789075366736505</v>
      </c>
      <c r="S1106" s="992">
        <v>8.1926879655968001</v>
      </c>
      <c r="T1106" s="1604">
        <v>8.3106769142333405</v>
      </c>
    </row>
    <row r="1107" spans="1:20">
      <c r="A1107" t="s">
        <v>3393</v>
      </c>
      <c r="B1107" s="6" t="str">
        <f>HYPERLINK("http://www.ncbi.nlm.nih.gov/gene/102614", "102614")</f>
        <v>102614</v>
      </c>
      <c r="C1107" s="6" t="str">
        <f>HYPERLINK("http://www.ncbi.nlm.nih.gov/gene/54913", "54913")</f>
        <v>54913</v>
      </c>
      <c r="D1107" t="str">
        <f>"Rpp25"</f>
        <v>Rpp25</v>
      </c>
      <c r="E1107" t="s">
        <v>3394</v>
      </c>
      <c r="F1107" t="s">
        <v>3395</v>
      </c>
      <c r="G1107" t="s">
        <v>3396</v>
      </c>
      <c r="H1107" s="522">
        <v>8</v>
      </c>
      <c r="I1107" s="33">
        <v>5.2628609147201297</v>
      </c>
      <c r="J1107" s="190">
        <v>5.0663754080810897</v>
      </c>
      <c r="K1107" s="197">
        <v>5.36009596077818</v>
      </c>
      <c r="L1107" s="2070">
        <v>4.6302815251554703</v>
      </c>
      <c r="M1107" s="549">
        <v>4.8943280603218096</v>
      </c>
      <c r="N1107" s="851">
        <v>4.8160562291016804</v>
      </c>
      <c r="O1107" s="677">
        <v>6.7264023218373596</v>
      </c>
      <c r="P1107" s="652">
        <v>6.6964375857338503</v>
      </c>
      <c r="Q1107" s="2362">
        <v>6.36048862932833</v>
      </c>
      <c r="R1107" s="1017">
        <v>4.29376978706747</v>
      </c>
      <c r="S1107" s="1007">
        <v>4.6285072796594298</v>
      </c>
      <c r="T1107" s="562">
        <v>4.7000544929129999</v>
      </c>
    </row>
    <row r="1108" spans="1:20">
      <c r="A1108" t="s">
        <v>3397</v>
      </c>
      <c r="B1108" s="6" t="str">
        <f>HYPERLINK("http://www.ncbi.nlm.nih.gov/gene/15395", "15395")</f>
        <v>15395</v>
      </c>
      <c r="C1108" s="6" t="str">
        <f>HYPERLINK("http://www.ncbi.nlm.nih.gov/gene/3206", "3206")</f>
        <v>3206</v>
      </c>
      <c r="D1108" t="str">
        <f>"Hoxa10"</f>
        <v>Hoxa10</v>
      </c>
      <c r="E1108" t="s">
        <v>3398</v>
      </c>
      <c r="F1108" t="s">
        <v>3404</v>
      </c>
      <c r="H1108" s="522">
        <v>8</v>
      </c>
      <c r="I1108" s="32">
        <v>3.2426355286767299</v>
      </c>
      <c r="J1108" s="69">
        <v>3.34822962931247</v>
      </c>
      <c r="K1108" s="464">
        <v>3.9741490375845299</v>
      </c>
      <c r="L1108" s="2070">
        <v>2.6028741118258401</v>
      </c>
      <c r="M1108" s="1367">
        <v>2.71694037480178</v>
      </c>
      <c r="N1108" s="1191">
        <v>2.4962925634446602</v>
      </c>
      <c r="O1108" s="809">
        <v>5.6705448412055697</v>
      </c>
      <c r="P1108" s="603">
        <v>5.8229153738536796</v>
      </c>
      <c r="Q1108" s="1853">
        <v>5.7517902727781598</v>
      </c>
      <c r="R1108" s="561">
        <v>2.6565458081428601</v>
      </c>
      <c r="S1108" s="537">
        <v>2.7405396170362901</v>
      </c>
      <c r="T1108" s="1372">
        <v>2.7439198497749602</v>
      </c>
    </row>
    <row r="1109" spans="1:20">
      <c r="A1109" t="s">
        <v>3405</v>
      </c>
      <c r="B1109" s="6" t="str">
        <f>HYPERLINK("http://www.ncbi.nlm.nih.gov/gene/13506", "13506")</f>
        <v>13506</v>
      </c>
      <c r="C1109" s="6" t="str">
        <f>HYPERLINK("http://www.ncbi.nlm.nih.gov/gene/1824", "1824")</f>
        <v>1824</v>
      </c>
      <c r="D1109" t="str">
        <f>"Dsc2"</f>
        <v>Dsc2</v>
      </c>
      <c r="E1109" t="s">
        <v>3406</v>
      </c>
      <c r="F1109" t="s">
        <v>3407</v>
      </c>
      <c r="G1109" t="s">
        <v>1324</v>
      </c>
      <c r="H1109" s="522">
        <v>8</v>
      </c>
      <c r="I1109" s="187">
        <v>4.46978308656539</v>
      </c>
      <c r="J1109" s="202">
        <v>4.3417504906120001</v>
      </c>
      <c r="K1109" s="147">
        <v>4.6694971890475303</v>
      </c>
      <c r="L1109" s="2175">
        <v>3.8623145041271498</v>
      </c>
      <c r="M1109" s="544">
        <v>3.68511834712635</v>
      </c>
      <c r="N1109" s="554">
        <v>3.8775426147372101</v>
      </c>
      <c r="O1109" s="1736">
        <v>7.1097074086987897</v>
      </c>
      <c r="P1109" s="666">
        <v>6.9435192294902803</v>
      </c>
      <c r="Q1109" s="1941">
        <v>7.0683432363661103</v>
      </c>
      <c r="R1109" s="1029">
        <v>3.3282888696026398</v>
      </c>
      <c r="S1109" s="1037">
        <v>3.5976100324669602</v>
      </c>
      <c r="T1109" s="1365">
        <v>3.2645753869321701</v>
      </c>
    </row>
    <row r="1110" spans="1:20">
      <c r="A1110" t="s">
        <v>3408</v>
      </c>
      <c r="B1110" s="6" t="str">
        <f>HYPERLINK("http://www.ncbi.nlm.nih.gov/gene/14799", "14799")</f>
        <v>14799</v>
      </c>
      <c r="C1110" s="6" t="str">
        <f>HYPERLINK("http://www.ncbi.nlm.nih.gov/gene/2890", "2890")</f>
        <v>2890</v>
      </c>
      <c r="D1110" t="str">
        <f>"Gria1"</f>
        <v>Gria1</v>
      </c>
      <c r="E1110" t="s">
        <v>3409</v>
      </c>
      <c r="F1110" t="s">
        <v>3417</v>
      </c>
      <c r="G1110" t="s">
        <v>3418</v>
      </c>
      <c r="H1110" s="522">
        <v>8</v>
      </c>
      <c r="I1110" s="231">
        <v>4.7817182237665996</v>
      </c>
      <c r="J1110" s="238">
        <v>4.8914401439086799</v>
      </c>
      <c r="K1110" s="303">
        <v>4.9444802831676702</v>
      </c>
      <c r="L1110" s="1958">
        <v>3.8502403131034502</v>
      </c>
      <c r="M1110" s="627">
        <v>4.4039130834710303</v>
      </c>
      <c r="N1110" s="708">
        <v>4.1545291413061198</v>
      </c>
      <c r="O1110" s="702">
        <v>6.7245355542761196</v>
      </c>
      <c r="P1110" s="1252">
        <v>6.4472604480369196</v>
      </c>
      <c r="Q1110" s="2631">
        <v>6.8361870964709404</v>
      </c>
      <c r="R1110" s="1281">
        <v>3.7506972136569399</v>
      </c>
      <c r="S1110" s="722">
        <v>3.5087767706194102</v>
      </c>
      <c r="T1110" s="1602">
        <v>3.8025921344262499</v>
      </c>
    </row>
    <row r="1111" spans="1:20">
      <c r="A1111" t="s">
        <v>3419</v>
      </c>
      <c r="B1111" s="6" t="str">
        <f>HYPERLINK("http://www.ncbi.nlm.nih.gov/gene/16527", "16527")</f>
        <v>16527</v>
      </c>
      <c r="C1111" s="6" t="str">
        <f>HYPERLINK("http://www.ncbi.nlm.nih.gov/gene/3777", "3777")</f>
        <v>3777</v>
      </c>
      <c r="D1111" t="str">
        <f>"Kcnk3"</f>
        <v>Kcnk3</v>
      </c>
      <c r="E1111" t="s">
        <v>3420</v>
      </c>
      <c r="F1111" t="s">
        <v>3421</v>
      </c>
      <c r="H1111" s="522">
        <v>8</v>
      </c>
      <c r="I1111" s="209">
        <v>5.8319732348856199</v>
      </c>
      <c r="J1111" s="242">
        <v>5.8111566315173597</v>
      </c>
      <c r="K1111" s="82">
        <v>5.87251671153071</v>
      </c>
      <c r="L1111" s="2140">
        <v>5.2958209244387104</v>
      </c>
      <c r="M1111" s="1006">
        <v>5.5133678532729</v>
      </c>
      <c r="N1111" s="669">
        <v>5.4885992959689496</v>
      </c>
      <c r="O1111" s="581">
        <v>7.44115757973782</v>
      </c>
      <c r="P1111" s="1198">
        <v>6.9867100394480701</v>
      </c>
      <c r="Q1111" s="2632">
        <v>7.42673689506295</v>
      </c>
      <c r="R1111" s="1281">
        <v>5.0626467083578497</v>
      </c>
      <c r="S1111" s="1330">
        <v>4.9436370049168303</v>
      </c>
      <c r="T1111" s="1379">
        <v>4.9778702913892596</v>
      </c>
    </row>
    <row r="1112" spans="1:20">
      <c r="A1112" t="s">
        <v>3422</v>
      </c>
      <c r="B1112" s="6" t="str">
        <f>HYPERLINK("http://www.ncbi.nlm.nih.gov/gene/210719", "210719")</f>
        <v>210719</v>
      </c>
      <c r="C1112" s="6" t="str">
        <f>HYPERLINK("http://www.ncbi.nlm.nih.gov/gene/283078", "283078")</f>
        <v>283078</v>
      </c>
      <c r="D1112" t="str">
        <f>"Mkx"</f>
        <v>Mkx</v>
      </c>
      <c r="E1112" t="s">
        <v>3423</v>
      </c>
      <c r="F1112" t="s">
        <v>3424</v>
      </c>
      <c r="H1112" s="522">
        <v>8</v>
      </c>
      <c r="I1112" s="209">
        <v>4.0829743699233303</v>
      </c>
      <c r="J1112" s="365">
        <v>4.1991598658499196</v>
      </c>
      <c r="K1112" s="134">
        <v>4.0448785159721803</v>
      </c>
      <c r="L1112" s="2127">
        <v>3.9713713123695902</v>
      </c>
      <c r="M1112" s="669">
        <v>3.87970756443619</v>
      </c>
      <c r="N1112" s="566">
        <v>3.7127436908155498</v>
      </c>
      <c r="O1112" s="1737">
        <v>4.8076966364132101</v>
      </c>
      <c r="P1112" s="868">
        <v>4.99483379970372</v>
      </c>
      <c r="Q1112" s="1897">
        <v>4.9316305600483998</v>
      </c>
      <c r="R1112" s="1572">
        <v>3.4400611004985802</v>
      </c>
      <c r="S1112" s="1367">
        <v>3.74623523899632</v>
      </c>
      <c r="T1112" s="1369">
        <v>3.5696031916997302</v>
      </c>
    </row>
    <row r="1113" spans="1:20">
      <c r="A1113" t="s">
        <v>3425</v>
      </c>
      <c r="B1113" s="6" t="str">
        <f>HYPERLINK("http://www.ncbi.nlm.nih.gov/gene/434215", "434215")</f>
        <v>434215</v>
      </c>
      <c r="C1113" s="6" t="str">
        <f>HYPERLINK("http://www.ncbi.nlm.nih.gov/gene/2615", "2615")</f>
        <v>2615</v>
      </c>
      <c r="D1113" t="str">
        <f>"Lrrc32"</f>
        <v>Lrrc32</v>
      </c>
      <c r="E1113" t="s">
        <v>3426</v>
      </c>
      <c r="F1113" t="s">
        <v>3448</v>
      </c>
      <c r="H1113" s="522">
        <v>8</v>
      </c>
      <c r="I1113" s="326">
        <v>4.46831675099717</v>
      </c>
      <c r="J1113" s="408">
        <v>4.3662612020048801</v>
      </c>
      <c r="K1113" s="169">
        <v>3.9663251369229999</v>
      </c>
      <c r="L1113" s="2220">
        <v>3.6712533778616399</v>
      </c>
      <c r="M1113" s="1330">
        <v>3.2156239586778201</v>
      </c>
      <c r="N1113" s="599">
        <v>3.7208237920186602</v>
      </c>
      <c r="O1113" s="1738">
        <v>5.2011086358378504</v>
      </c>
      <c r="P1113" s="602">
        <v>5.5056861999292002</v>
      </c>
      <c r="Q1113" s="1899">
        <v>5.2697624654738604</v>
      </c>
      <c r="R1113" s="1308">
        <v>3.23584771030621</v>
      </c>
      <c r="S1113" s="688">
        <v>3.4871610808356799</v>
      </c>
      <c r="T1113" s="1739">
        <v>3.1186306248590698</v>
      </c>
    </row>
    <row r="1114" spans="1:20">
      <c r="A1114" t="s">
        <v>3449</v>
      </c>
      <c r="B1114" s="6" t="str">
        <f>HYPERLINK("http://www.ncbi.nlm.nih.gov/gene/17395", "17395")</f>
        <v>17395</v>
      </c>
      <c r="C1114" s="6" t="str">
        <f>HYPERLINK("http://www.ncbi.nlm.nih.gov/gene/4318", "4318")</f>
        <v>4318</v>
      </c>
      <c r="D1114" t="str">
        <f>"Mmp9"</f>
        <v>Mmp9</v>
      </c>
      <c r="E1114" t="s">
        <v>3450</v>
      </c>
      <c r="F1114" t="s">
        <v>3431</v>
      </c>
      <c r="G1114" t="s">
        <v>3432</v>
      </c>
      <c r="H1114" s="522">
        <v>8</v>
      </c>
      <c r="I1114" s="365">
        <v>4.4124891306696599</v>
      </c>
      <c r="J1114" s="197">
        <v>4.3597987257762201</v>
      </c>
      <c r="K1114" s="209">
        <v>4.2508688990971901</v>
      </c>
      <c r="L1114" s="1923">
        <v>4.1668637869026997</v>
      </c>
      <c r="M1114" s="705">
        <v>4.1548114760208001</v>
      </c>
      <c r="N1114" s="1285">
        <v>3.1537579678701699</v>
      </c>
      <c r="O1114" s="1740">
        <v>5.3499677083782897</v>
      </c>
      <c r="P1114" s="868">
        <v>5.5502081399702199</v>
      </c>
      <c r="Q1114" s="1847">
        <v>5.2258653938418798</v>
      </c>
      <c r="R1114" s="864">
        <v>3.6980346928691801</v>
      </c>
      <c r="S1114" s="1330">
        <v>3.51046556315984</v>
      </c>
      <c r="T1114" s="1295">
        <v>3.68784796578651</v>
      </c>
    </row>
    <row r="1115" spans="1:20">
      <c r="A1115" t="s">
        <v>3433</v>
      </c>
      <c r="B1115" s="6" t="str">
        <f>HYPERLINK("http://www.ncbi.nlm.nih.gov/gene/78688", "78688")</f>
        <v>78688</v>
      </c>
      <c r="C1115" s="6" t="str">
        <f>HYPERLINK("http://www.ncbi.nlm.nih.gov/gene/8996", "8996")</f>
        <v>8996</v>
      </c>
      <c r="D1115" t="str">
        <f>"Nol3"</f>
        <v>Nol3</v>
      </c>
      <c r="E1115" t="s">
        <v>3434</v>
      </c>
      <c r="F1115" t="s">
        <v>3428</v>
      </c>
      <c r="H1115" s="522">
        <v>8</v>
      </c>
      <c r="I1115" s="54">
        <v>4.8826547009279198</v>
      </c>
      <c r="J1115" s="294">
        <v>5.2509237353507601</v>
      </c>
      <c r="K1115" s="99">
        <v>4.8446526388116498</v>
      </c>
      <c r="L1115" s="2260">
        <v>4.94272295950356</v>
      </c>
      <c r="M1115" s="655">
        <v>4.8374214825895798</v>
      </c>
      <c r="N1115" s="1565">
        <v>4.3811025433479802</v>
      </c>
      <c r="O1115" s="563">
        <v>5.6951987298109596</v>
      </c>
      <c r="P1115" s="644">
        <v>5.6395534834601397</v>
      </c>
      <c r="Q1115" s="1899">
        <v>5.6047976044315702</v>
      </c>
      <c r="R1115" s="1007">
        <v>4.6491100004724304</v>
      </c>
      <c r="S1115" s="1439">
        <v>4.5548602575796204</v>
      </c>
      <c r="T1115" s="1350">
        <v>4.6825826140863196</v>
      </c>
    </row>
    <row r="1116" spans="1:20">
      <c r="A1116" t="s">
        <v>3429</v>
      </c>
      <c r="B1116" s="6" t="str">
        <f>HYPERLINK("http://www.ncbi.nlm.nih.gov/gene/320438", "320438")</f>
        <v>320438</v>
      </c>
      <c r="C1116" s="6" t="str">
        <f>HYPERLINK("http://www.ncbi.nlm.nih.gov/gene/29929", "29929")</f>
        <v>29929</v>
      </c>
      <c r="D1116" t="str">
        <f>"Alg6"</f>
        <v>Alg6</v>
      </c>
      <c r="E1116" t="s">
        <v>3430</v>
      </c>
      <c r="F1116" t="s">
        <v>3435</v>
      </c>
      <c r="G1116" t="s">
        <v>973</v>
      </c>
      <c r="H1116" s="522">
        <v>8</v>
      </c>
      <c r="I1116" s="283">
        <v>6.0867343685136897</v>
      </c>
      <c r="J1116" s="283">
        <v>6.0855279646767899</v>
      </c>
      <c r="K1116" s="360">
        <v>6.4457429403506596</v>
      </c>
      <c r="L1116" s="1901">
        <v>5.3561425748498399</v>
      </c>
      <c r="M1116" s="997">
        <v>5.5100229412136796</v>
      </c>
      <c r="N1116" s="1215">
        <v>5.8393712760154299</v>
      </c>
      <c r="O1116" s="1741">
        <v>6.5221158915711399</v>
      </c>
      <c r="P1116" s="559">
        <v>6.5709798694368304</v>
      </c>
      <c r="Q1116" s="1922">
        <v>6.5968132169756304</v>
      </c>
      <c r="R1116" s="1691">
        <v>5.28833281308364</v>
      </c>
      <c r="S1116" s="993">
        <v>5.5400480647301196</v>
      </c>
      <c r="T1116" s="1341">
        <v>5.4664043279007997</v>
      </c>
    </row>
    <row r="1117" spans="1:20">
      <c r="A1117" t="s">
        <v>3436</v>
      </c>
      <c r="B1117" s="6" t="str">
        <f>HYPERLINK("http://www.ncbi.nlm.nih.gov/gene/100124484", "100124484")</f>
        <v>100124484</v>
      </c>
      <c r="C1117" s="6" t="str">
        <f>HYPERLINK("http://www.ncbi.nlm.nih.gov/gene/", "")</f>
        <v/>
      </c>
      <c r="D1117" t="str">
        <f>"Mir453"</f>
        <v>Mir453</v>
      </c>
      <c r="E1117" t="s">
        <v>3437</v>
      </c>
      <c r="H1117" s="522">
        <v>8</v>
      </c>
      <c r="I1117" s="481">
        <v>7.9142880220401404</v>
      </c>
      <c r="J1117" s="197">
        <v>7.6301889971323602</v>
      </c>
      <c r="K1117" s="422">
        <v>7.8541450605099499</v>
      </c>
      <c r="L1117" s="2326">
        <v>6.9236298716081297</v>
      </c>
      <c r="M1117" s="567">
        <v>7.0408378860426897</v>
      </c>
      <c r="N1117" s="687">
        <v>7.3837880854510098</v>
      </c>
      <c r="O1117" s="1742">
        <v>8.3416395971161403</v>
      </c>
      <c r="P1117" s="818">
        <v>8.1742429216620103</v>
      </c>
      <c r="Q1117" s="2633">
        <v>8.6037359647477007</v>
      </c>
      <c r="R1117" s="1445">
        <v>6.7032521805021004</v>
      </c>
      <c r="S1117" s="876">
        <v>7.0703627460188097</v>
      </c>
      <c r="T1117" s="740">
        <v>7.2357877605135004</v>
      </c>
    </row>
    <row r="1118" spans="1:20">
      <c r="A1118" t="s">
        <v>3438</v>
      </c>
      <c r="B1118" s="6" t="str">
        <f>HYPERLINK("http://www.ncbi.nlm.nih.gov/gene/353237", "353237")</f>
        <v>353237</v>
      </c>
      <c r="C1118" s="6" t="str">
        <f>HYPERLINK("http://www.ncbi.nlm.nih.gov/gene/56134", "56134")</f>
        <v>56134</v>
      </c>
      <c r="D1118" t="str">
        <f>"Pcdhac2"</f>
        <v>Pcdhac2</v>
      </c>
      <c r="E1118" t="s">
        <v>3439</v>
      </c>
      <c r="F1118" t="s">
        <v>90</v>
      </c>
      <c r="H1118" s="522">
        <v>8</v>
      </c>
      <c r="I1118" s="320">
        <v>6.2675930530820203</v>
      </c>
      <c r="J1118" s="421">
        <v>6.1213045285610503</v>
      </c>
      <c r="K1118" s="372">
        <v>6.2839831192640503</v>
      </c>
      <c r="L1118" s="2634">
        <v>4.4889846828560103</v>
      </c>
      <c r="M1118" s="627">
        <v>5.4786476502916504</v>
      </c>
      <c r="N1118" s="892">
        <v>5.4652343574431201</v>
      </c>
      <c r="O1118" s="1743">
        <v>7.00574285843516</v>
      </c>
      <c r="P1118" s="749">
        <v>7.0008765907761701</v>
      </c>
      <c r="Q1118" s="1855">
        <v>7.4771934937258102</v>
      </c>
      <c r="R1118" s="566">
        <v>5.0719537603577098</v>
      </c>
      <c r="S1118" s="1160">
        <v>4.5082189574022502</v>
      </c>
      <c r="T1118" s="1311">
        <v>4.9535759888297202</v>
      </c>
    </row>
    <row r="1119" spans="1:20">
      <c r="A1119" t="s">
        <v>3440</v>
      </c>
      <c r="B1119" s="6" t="str">
        <f>HYPERLINK("http://www.ncbi.nlm.nih.gov/gene/17768", "17768")</f>
        <v>17768</v>
      </c>
      <c r="C1119" s="6" t="str">
        <f>HYPERLINK("http://www.ncbi.nlm.nih.gov/gene/10797", "10797")</f>
        <v>10797</v>
      </c>
      <c r="D1119" t="str">
        <f>"Mthfd2"</f>
        <v>Mthfd2</v>
      </c>
      <c r="E1119" t="s">
        <v>3441</v>
      </c>
      <c r="F1119" t="s">
        <v>3442</v>
      </c>
      <c r="G1119" t="s">
        <v>3443</v>
      </c>
      <c r="H1119" s="522">
        <v>8</v>
      </c>
      <c r="I1119" s="464">
        <v>5.6371349700830402</v>
      </c>
      <c r="J1119" s="99">
        <v>5.3079480499249003</v>
      </c>
      <c r="K1119" s="417">
        <v>5.8729481548175499</v>
      </c>
      <c r="L1119" s="1937">
        <v>4.9808797918996204</v>
      </c>
      <c r="M1119" s="595">
        <v>5.2727035092964201</v>
      </c>
      <c r="N1119" s="566">
        <v>5.0828132922775398</v>
      </c>
      <c r="O1119" s="1744">
        <v>6.1061152473867599</v>
      </c>
      <c r="P1119" s="587">
        <v>6.4155148285273498</v>
      </c>
      <c r="Q1119" s="1953">
        <v>6.3245722610477699</v>
      </c>
      <c r="R1119" s="992">
        <v>5.0382182268659497</v>
      </c>
      <c r="S1119" s="1037">
        <v>5.09634816885068</v>
      </c>
      <c r="T1119" s="1606">
        <v>4.8866514268202099</v>
      </c>
    </row>
    <row r="1120" spans="1:20">
      <c r="A1120" t="s">
        <v>3444</v>
      </c>
      <c r="B1120" s="6" t="str">
        <f>HYPERLINK("http://www.ncbi.nlm.nih.gov/gene/545681", "545681")</f>
        <v>545681</v>
      </c>
      <c r="C1120" s="6" t="str">
        <f>HYPERLINK("http://www.ncbi.nlm.nih.gov/gene/", "")</f>
        <v/>
      </c>
      <c r="D1120" t="str">
        <f>"Gm12992"</f>
        <v>Gm12992</v>
      </c>
      <c r="E1120" t="s">
        <v>3445</v>
      </c>
      <c r="H1120" s="522">
        <v>8</v>
      </c>
      <c r="I1120" s="230">
        <v>4.6147006629255696</v>
      </c>
      <c r="J1120" s="155">
        <v>4.3280474011451897</v>
      </c>
      <c r="K1120" s="364">
        <v>4.8732133776961</v>
      </c>
      <c r="L1120" s="1893">
        <v>4.0173921089072699</v>
      </c>
      <c r="M1120" s="627">
        <v>4.2092089209093002</v>
      </c>
      <c r="N1120" s="1572">
        <v>3.58218274054716</v>
      </c>
      <c r="O1120" s="803">
        <v>5.3985594779256596</v>
      </c>
      <c r="P1120" s="1145">
        <v>5.3312763019475096</v>
      </c>
      <c r="Q1120" s="1897">
        <v>5.52428775650161</v>
      </c>
      <c r="R1120" s="573">
        <v>3.98384874532942</v>
      </c>
      <c r="S1120" s="1021">
        <v>3.5632741512920401</v>
      </c>
      <c r="T1120" s="1358">
        <v>4.1110055164899597</v>
      </c>
    </row>
    <row r="1121" spans="1:20">
      <c r="A1121" t="s">
        <v>3446</v>
      </c>
      <c r="B1121" s="6" t="str">
        <f>HYPERLINK("http://www.ncbi.nlm.nih.gov/gene/21930", "21930")</f>
        <v>21930</v>
      </c>
      <c r="C1121" s="6" t="str">
        <f>HYPERLINK("http://www.ncbi.nlm.nih.gov/gene/7130", "7130")</f>
        <v>7130</v>
      </c>
      <c r="D1121" t="str">
        <f>"Tnfaip6"</f>
        <v>Tnfaip6</v>
      </c>
      <c r="E1121" t="s">
        <v>3447</v>
      </c>
      <c r="F1121" t="s">
        <v>3451</v>
      </c>
      <c r="H1121" s="522">
        <v>8</v>
      </c>
      <c r="I1121" s="176">
        <v>3.1239308069612099</v>
      </c>
      <c r="J1121" s="128">
        <v>2.9277560331665899</v>
      </c>
      <c r="K1121" s="340">
        <v>3.7840788325229799</v>
      </c>
      <c r="L1121" s="2070">
        <v>2.6290872749840002</v>
      </c>
      <c r="M1121" s="662">
        <v>2.76995483820899</v>
      </c>
      <c r="N1121" s="1584">
        <v>2.19589124596193</v>
      </c>
      <c r="O1121" s="773">
        <v>4.1370621021721599</v>
      </c>
      <c r="P1121" s="761">
        <v>4.2396026643183697</v>
      </c>
      <c r="Q1121" s="2635">
        <v>4.60209734971858</v>
      </c>
      <c r="R1121" s="993">
        <v>2.6219947435053901</v>
      </c>
      <c r="S1121" s="573">
        <v>2.7002510953080998</v>
      </c>
      <c r="T1121" s="846">
        <v>3.0268561905397302</v>
      </c>
    </row>
    <row r="1122" spans="1:20">
      <c r="A1122" t="s">
        <v>3452</v>
      </c>
      <c r="B1122" s="6" t="str">
        <f>HYPERLINK("http://www.ncbi.nlm.nih.gov/gene/244810", "244810")</f>
        <v>244810</v>
      </c>
      <c r="C1122" s="6" t="str">
        <f>HYPERLINK("http://www.ncbi.nlm.nih.gov/gene/", "")</f>
        <v/>
      </c>
      <c r="D1122" t="str">
        <f>"AW551984"</f>
        <v>AW551984</v>
      </c>
      <c r="E1122" t="s">
        <v>3453</v>
      </c>
      <c r="F1122" t="s">
        <v>3454</v>
      </c>
      <c r="H1122" s="522">
        <v>8</v>
      </c>
      <c r="I1122" s="425">
        <v>7.2501314741420702</v>
      </c>
      <c r="J1122" s="465">
        <v>6.8855475001679096</v>
      </c>
      <c r="K1122" s="255">
        <v>7.1153544966566704</v>
      </c>
      <c r="L1122" s="2102">
        <v>5.5701831377302504</v>
      </c>
      <c r="M1122" s="1671">
        <v>4.97533893885634</v>
      </c>
      <c r="N1122" s="567">
        <v>5.7296354350829199</v>
      </c>
      <c r="O1122" s="760">
        <v>8.4831705777988393</v>
      </c>
      <c r="P1122" s="698">
        <v>8.5121470575719993</v>
      </c>
      <c r="Q1122" s="2636">
        <v>8.5442989452379408</v>
      </c>
      <c r="R1122" s="1081">
        <v>6.0064262973219602</v>
      </c>
      <c r="S1122" s="1006">
        <v>6.2898969112263403</v>
      </c>
      <c r="T1122" s="1436">
        <v>6.1812291355360198</v>
      </c>
    </row>
    <row r="1123" spans="1:20">
      <c r="A1123" t="s">
        <v>3455</v>
      </c>
      <c r="B1123" s="6" t="str">
        <f>HYPERLINK("http://www.ncbi.nlm.nih.gov/gene/16542", "16542")</f>
        <v>16542</v>
      </c>
      <c r="C1123" s="6" t="str">
        <f>HYPERLINK("http://www.ncbi.nlm.nih.gov/gene/3791", "3791")</f>
        <v>3791</v>
      </c>
      <c r="D1123" t="str">
        <f>"Kdr"</f>
        <v>Kdr</v>
      </c>
      <c r="E1123" t="s">
        <v>3427</v>
      </c>
      <c r="F1123" t="s">
        <v>3456</v>
      </c>
      <c r="G1123" t="s">
        <v>3457</v>
      </c>
      <c r="H1123" s="522">
        <v>8</v>
      </c>
      <c r="I1123" s="319">
        <v>7.0484015472285098</v>
      </c>
      <c r="J1123" s="302">
        <v>6.9909346968564803</v>
      </c>
      <c r="K1123" s="283">
        <v>7.0869495030187801</v>
      </c>
      <c r="L1123" s="2227">
        <v>5.4217082410371198</v>
      </c>
      <c r="M1123" s="1447">
        <v>5.4385301245199997</v>
      </c>
      <c r="N1123" s="1342">
        <v>5.6601804145237598</v>
      </c>
      <c r="O1123" s="628">
        <v>8.3409617812784091</v>
      </c>
      <c r="P1123" s="1145">
        <v>8.1404643378957307</v>
      </c>
      <c r="Q1123" s="1953">
        <v>8.3794440090077202</v>
      </c>
      <c r="R1123" s="610">
        <v>6.1959053668436503</v>
      </c>
      <c r="S1123" s="594">
        <v>6.2580459690362202</v>
      </c>
      <c r="T1123" s="642">
        <v>6.3363475651296701</v>
      </c>
    </row>
    <row r="1124" spans="1:20">
      <c r="A1124" t="s">
        <v>3458</v>
      </c>
      <c r="B1124" s="6" t="str">
        <f>HYPERLINK("http://www.ncbi.nlm.nih.gov/gene/17116", "17116")</f>
        <v>17116</v>
      </c>
      <c r="C1124" s="6" t="str">
        <f>HYPERLINK("http://www.ncbi.nlm.nih.gov/gene/4081", "4081")</f>
        <v>4081</v>
      </c>
      <c r="D1124" t="str">
        <f>"Mab21l1"</f>
        <v>Mab21l1</v>
      </c>
      <c r="E1124" t="s">
        <v>3459</v>
      </c>
      <c r="F1124" t="s">
        <v>3460</v>
      </c>
      <c r="H1124" s="522">
        <v>8</v>
      </c>
      <c r="I1124" s="82">
        <v>4.9076147031995596</v>
      </c>
      <c r="J1124" s="38">
        <v>4.7777058101472498</v>
      </c>
      <c r="K1124" s="426">
        <v>5.5475754359826297</v>
      </c>
      <c r="L1124" s="2105">
        <v>3.3297327390382501</v>
      </c>
      <c r="M1124" s="1138">
        <v>2.66492888789268</v>
      </c>
      <c r="N1124" s="1167">
        <v>3.0706062853964902</v>
      </c>
      <c r="O1124" s="1481">
        <v>7.4697683798098202</v>
      </c>
      <c r="P1124" s="570">
        <v>7.6534781438542501</v>
      </c>
      <c r="Q1124" s="1894">
        <v>7.6897155164209696</v>
      </c>
      <c r="R1124" s="662">
        <v>3.88539142829858</v>
      </c>
      <c r="S1124" s="1006">
        <v>4.2148530487067699</v>
      </c>
      <c r="T1124" s="605">
        <v>4.1801636272795903</v>
      </c>
    </row>
    <row r="1125" spans="1:20">
      <c r="A1125" t="s">
        <v>3461</v>
      </c>
      <c r="B1125" s="6" t="str">
        <f>HYPERLINK("http://www.ncbi.nlm.nih.gov/gene/12933", "12933")</f>
        <v>12933</v>
      </c>
      <c r="C1125" s="6" t="str">
        <f>HYPERLINK("http://www.ncbi.nlm.nih.gov/gene/1400", "1400")</f>
        <v>1400</v>
      </c>
      <c r="D1125" t="str">
        <f>"Crmp1"</f>
        <v>Crmp1</v>
      </c>
      <c r="E1125" t="s">
        <v>3462</v>
      </c>
      <c r="F1125" t="s">
        <v>3463</v>
      </c>
      <c r="H1125" s="522">
        <v>8</v>
      </c>
      <c r="I1125" s="308">
        <v>5.8889787266443703</v>
      </c>
      <c r="J1125" s="218">
        <v>5.6259057213634396</v>
      </c>
      <c r="K1125" s="292">
        <v>6.2120749059353697</v>
      </c>
      <c r="L1125" s="1948">
        <v>4.1119058071455798</v>
      </c>
      <c r="M1125" s="722">
        <v>4.1226689261369298</v>
      </c>
      <c r="N1125" s="1167">
        <v>4.20924697493483</v>
      </c>
      <c r="O1125" s="1745">
        <v>7.6858744915482902</v>
      </c>
      <c r="P1125" s="707">
        <v>7.7532194822425398</v>
      </c>
      <c r="Q1125" s="1905">
        <v>7.6248633986673697</v>
      </c>
      <c r="R1125" s="600">
        <v>5.1277622407385204</v>
      </c>
      <c r="S1125" s="595">
        <v>5.0909755063299604</v>
      </c>
      <c r="T1125" s="735">
        <v>4.6706891729057904</v>
      </c>
    </row>
    <row r="1126" spans="1:20">
      <c r="A1126" t="s">
        <v>3464</v>
      </c>
      <c r="B1126" s="6" t="str">
        <f>HYPERLINK("http://www.ncbi.nlm.nih.gov/gene/72575", "72575")</f>
        <v>72575</v>
      </c>
      <c r="C1126" s="6" t="str">
        <f>HYPERLINK("http://www.ncbi.nlm.nih.gov/gene/", "")</f>
        <v/>
      </c>
      <c r="D1126" t="str">
        <f>"C430049B03Rik"</f>
        <v>C430049B03Rik</v>
      </c>
      <c r="E1126" t="s">
        <v>3465</v>
      </c>
      <c r="F1126" t="s">
        <v>90</v>
      </c>
      <c r="H1126" s="522">
        <v>8</v>
      </c>
      <c r="I1126" s="231">
        <v>7.1027644775810002</v>
      </c>
      <c r="J1126" s="345">
        <v>7.02418142091466</v>
      </c>
      <c r="K1126" s="320">
        <v>7.4426090272844903</v>
      </c>
      <c r="L1126" s="2335">
        <v>6.1284200151639601</v>
      </c>
      <c r="M1126" s="561">
        <v>6.5970361375262101</v>
      </c>
      <c r="N1126" s="1040">
        <v>6.5534131824920898</v>
      </c>
      <c r="O1126" s="1746">
        <v>8.2074251339801307</v>
      </c>
      <c r="P1126" s="697">
        <v>8.2262431151119699</v>
      </c>
      <c r="Q1126" s="1953">
        <v>8.2153197561813691</v>
      </c>
      <c r="R1126" s="537">
        <v>6.64180025130785</v>
      </c>
      <c r="S1126" s="544">
        <v>6.6499510585900898</v>
      </c>
      <c r="T1126" s="721">
        <v>6.8576593204624103</v>
      </c>
    </row>
    <row r="1127" spans="1:20">
      <c r="A1127" t="s">
        <v>3466</v>
      </c>
      <c r="B1127" s="6" t="str">
        <f>HYPERLINK("http://www.ncbi.nlm.nih.gov/gene/751552", "751552")</f>
        <v>751552</v>
      </c>
      <c r="C1127" s="6" t="str">
        <f>HYPERLINK("http://www.ncbi.nlm.nih.gov/gene/", "")</f>
        <v/>
      </c>
      <c r="D1127" t="str">
        <f>"Mir667"</f>
        <v>Mir667</v>
      </c>
      <c r="E1127" t="s">
        <v>3467</v>
      </c>
      <c r="H1127" s="522">
        <v>8</v>
      </c>
      <c r="I1127" s="255">
        <v>6.9023450851521897</v>
      </c>
      <c r="J1127" s="227">
        <v>6.6256967454368896</v>
      </c>
      <c r="K1127" s="185">
        <v>6.8170519594844903</v>
      </c>
      <c r="L1127" s="2098">
        <v>6.0088984618810199</v>
      </c>
      <c r="M1127" s="876">
        <v>6.2293067952932999</v>
      </c>
      <c r="N1127" s="1308">
        <v>6.1148644503275396</v>
      </c>
      <c r="O1127" s="1740">
        <v>7.60715517782213</v>
      </c>
      <c r="P1127" s="657">
        <v>7.6225149069258</v>
      </c>
      <c r="Q1127" s="1910">
        <v>7.7578520356668204</v>
      </c>
      <c r="R1127" s="997">
        <v>6.2119309958040798</v>
      </c>
      <c r="S1127" s="708">
        <v>6.3842737461561896</v>
      </c>
      <c r="T1127" s="744">
        <v>6.6198075223538098</v>
      </c>
    </row>
    <row r="1128" spans="1:20">
      <c r="A1128" t="s">
        <v>3468</v>
      </c>
      <c r="B1128" s="6" t="str">
        <f>HYPERLINK("http://www.ncbi.nlm.nih.gov/gene/18605", "18605")</f>
        <v>18605</v>
      </c>
      <c r="C1128" s="6" t="str">
        <f>HYPERLINK("http://www.ncbi.nlm.nih.gov/gene/5167", "5167")</f>
        <v>5167</v>
      </c>
      <c r="D1128" t="str">
        <f>"Enpp1"</f>
        <v>Enpp1</v>
      </c>
      <c r="E1128" t="s">
        <v>3469</v>
      </c>
      <c r="F1128" t="s">
        <v>3470</v>
      </c>
      <c r="G1128" t="s">
        <v>289</v>
      </c>
      <c r="H1128" s="522">
        <v>8</v>
      </c>
      <c r="I1128" s="163">
        <v>4.80745190841815</v>
      </c>
      <c r="J1128" s="204">
        <v>4.4795574407630001</v>
      </c>
      <c r="K1128" s="308">
        <v>4.79019606689931</v>
      </c>
      <c r="L1128" s="1954">
        <v>4.1249705487415103</v>
      </c>
      <c r="M1128" s="722">
        <v>3.9750364437554699</v>
      </c>
      <c r="N1128" s="663">
        <v>4.2758508745651103</v>
      </c>
      <c r="O1128" s="760">
        <v>5.5843364662029202</v>
      </c>
      <c r="P1128" s="607">
        <v>5.6973903170540501</v>
      </c>
      <c r="Q1128" s="1864">
        <v>5.7511860570680202</v>
      </c>
      <c r="R1128" s="1346">
        <v>4.2043978576100596</v>
      </c>
      <c r="S1128" s="997">
        <v>4.1361344162001803</v>
      </c>
      <c r="T1128" s="907">
        <v>4.4684933053667599</v>
      </c>
    </row>
    <row r="1129" spans="1:20">
      <c r="A1129" t="s">
        <v>3471</v>
      </c>
      <c r="B1129" s="6" t="str">
        <f>HYPERLINK("http://www.ncbi.nlm.nih.gov/gene/723857", "723857")</f>
        <v>723857</v>
      </c>
      <c r="C1129" s="6" t="str">
        <f>HYPERLINK("http://www.ncbi.nlm.nih.gov/gene/", "")</f>
        <v/>
      </c>
      <c r="D1129" t="str">
        <f>"Mir377"</f>
        <v>Mir377</v>
      </c>
      <c r="E1129" t="s">
        <v>3472</v>
      </c>
      <c r="H1129" s="522">
        <v>8</v>
      </c>
      <c r="I1129" s="205">
        <v>4.1211450251827904</v>
      </c>
      <c r="J1129" s="345">
        <v>4.0055398886824101</v>
      </c>
      <c r="K1129" s="431">
        <v>4.4346795107575003</v>
      </c>
      <c r="L1129" s="2043">
        <v>3.5679342480938501</v>
      </c>
      <c r="M1129" s="1179">
        <v>3.5706243206536499</v>
      </c>
      <c r="N1129" s="573">
        <v>3.6615145747305902</v>
      </c>
      <c r="O1129" s="1747">
        <v>5.0410289870071701</v>
      </c>
      <c r="P1129" s="753">
        <v>4.9300687873097502</v>
      </c>
      <c r="Q1129" s="1866">
        <v>5.2010728474271897</v>
      </c>
      <c r="R1129" s="537">
        <v>3.66978698887258</v>
      </c>
      <c r="S1129" s="1364">
        <v>3.4172070272542401</v>
      </c>
      <c r="T1129" s="735">
        <v>3.64098931576829</v>
      </c>
    </row>
    <row r="1130" spans="1:20">
      <c r="A1130" t="s">
        <v>3473</v>
      </c>
      <c r="B1130" s="6" t="str">
        <f>HYPERLINK("http://www.ncbi.nlm.nih.gov/gene/15396", "15396")</f>
        <v>15396</v>
      </c>
      <c r="C1130" s="6" t="str">
        <f>HYPERLINK("http://www.ncbi.nlm.nih.gov/gene/3207", "3207")</f>
        <v>3207</v>
      </c>
      <c r="D1130" t="str">
        <f>"Hoxa11"</f>
        <v>Hoxa11</v>
      </c>
      <c r="E1130" t="s">
        <v>3474</v>
      </c>
      <c r="F1130" t="s">
        <v>3475</v>
      </c>
      <c r="H1130" s="522">
        <v>8</v>
      </c>
      <c r="I1130" s="376">
        <v>4.8481191018106902</v>
      </c>
      <c r="J1130" s="333">
        <v>4.41918757334704</v>
      </c>
      <c r="K1130" s="324">
        <v>4.7520131868483997</v>
      </c>
      <c r="L1130" s="1837">
        <v>3.7172519846140499</v>
      </c>
      <c r="M1130" s="1174">
        <v>3.3831079587052302</v>
      </c>
      <c r="N1130" s="1161">
        <v>3.1691597441894102</v>
      </c>
      <c r="O1130" s="786">
        <v>5.75394965741107</v>
      </c>
      <c r="P1130" s="675">
        <v>5.7763162620400603</v>
      </c>
      <c r="Q1130" s="1946">
        <v>5.5984052002901796</v>
      </c>
      <c r="R1130" s="1332">
        <v>3.4582451340278402</v>
      </c>
      <c r="S1130" s="1002">
        <v>3.7169439032586702</v>
      </c>
      <c r="T1130" s="1372">
        <v>3.6971161637538201</v>
      </c>
    </row>
    <row r="1131" spans="1:20">
      <c r="A1131" t="s">
        <v>3476</v>
      </c>
      <c r="B1131" s="6" t="str">
        <f>HYPERLINK("http://www.ncbi.nlm.nih.gov/gene/70025", "70025")</f>
        <v>70025</v>
      </c>
      <c r="C1131" s="6" t="str">
        <f>HYPERLINK("http://www.ncbi.nlm.nih.gov/gene/11332", "11332")</f>
        <v>11332</v>
      </c>
      <c r="D1131" t="str">
        <f>"Acot7"</f>
        <v>Acot7</v>
      </c>
      <c r="E1131" t="s">
        <v>3477</v>
      </c>
      <c r="F1131" t="s">
        <v>3478</v>
      </c>
      <c r="G1131" t="s">
        <v>2786</v>
      </c>
      <c r="H1131" s="522">
        <v>8</v>
      </c>
      <c r="I1131" s="197">
        <v>6.7062260244851197</v>
      </c>
      <c r="J1131" s="97">
        <v>6.57052538271207</v>
      </c>
      <c r="K1131" s="339">
        <v>6.9047412606599803</v>
      </c>
      <c r="L1131" s="1950">
        <v>6.0348323558509804</v>
      </c>
      <c r="M1131" s="1308">
        <v>5.8464796371818402</v>
      </c>
      <c r="N1131" s="1337">
        <v>5.8395027394969299</v>
      </c>
      <c r="O1131" s="1748">
        <v>7.9266806351866004</v>
      </c>
      <c r="P1131" s="686">
        <v>7.7978176919276097</v>
      </c>
      <c r="Q1131" s="2630">
        <v>7.5967930208334202</v>
      </c>
      <c r="R1131" s="992">
        <v>5.9811631703969299</v>
      </c>
      <c r="S1131" s="712">
        <v>6.1946221397092502</v>
      </c>
      <c r="T1131" s="857">
        <v>6.1513901385972698</v>
      </c>
    </row>
    <row r="1132" spans="1:20">
      <c r="A1132" t="s">
        <v>3479</v>
      </c>
      <c r="B1132" s="6" t="str">
        <f>HYPERLINK("http://www.ncbi.nlm.nih.gov/gene/13809", "13809")</f>
        <v>13809</v>
      </c>
      <c r="C1132" s="6" t="str">
        <f>HYPERLINK("http://www.ncbi.nlm.nih.gov/gene/2028", "2028")</f>
        <v>2028</v>
      </c>
      <c r="D1132" t="str">
        <f>"Enpep"</f>
        <v>Enpep</v>
      </c>
      <c r="E1132" t="s">
        <v>3480</v>
      </c>
      <c r="F1132" t="s">
        <v>3481</v>
      </c>
      <c r="G1132" t="s">
        <v>3482</v>
      </c>
      <c r="H1132" s="522">
        <v>8</v>
      </c>
      <c r="I1132" s="235">
        <v>4.7445125862903099</v>
      </c>
      <c r="J1132" s="326">
        <v>5.02251067443102</v>
      </c>
      <c r="K1132" s="277">
        <v>5.2010833053152101</v>
      </c>
      <c r="L1132" s="1860">
        <v>3.7061644511060301</v>
      </c>
      <c r="M1132" s="863">
        <v>3.57045263768009</v>
      </c>
      <c r="N1132" s="1147">
        <v>3.6253737397562</v>
      </c>
      <c r="O1132" s="865">
        <v>5.78330928072387</v>
      </c>
      <c r="P1132" s="631">
        <v>5.8390606674641203</v>
      </c>
      <c r="Q1132" s="1949">
        <v>5.9039138982363202</v>
      </c>
      <c r="R1132" s="1007">
        <v>3.9452366819648899</v>
      </c>
      <c r="S1132" s="636">
        <v>4.1710921897781699</v>
      </c>
      <c r="T1132" s="1358">
        <v>4.1794991569272799</v>
      </c>
    </row>
    <row r="1133" spans="1:20">
      <c r="A1133" t="s">
        <v>3483</v>
      </c>
      <c r="B1133" s="6" t="str">
        <f>HYPERLINK("http://www.ncbi.nlm.nih.gov/gene/14205", "14205")</f>
        <v>14205</v>
      </c>
      <c r="C1133" s="6" t="str">
        <f>HYPERLINK("http://www.ncbi.nlm.nih.gov/gene/2277", "2277")</f>
        <v>2277</v>
      </c>
      <c r="D1133" t="str">
        <f>"Figf"</f>
        <v>Figf</v>
      </c>
      <c r="E1133" t="s">
        <v>3484</v>
      </c>
      <c r="F1133" t="s">
        <v>3485</v>
      </c>
      <c r="G1133" t="s">
        <v>3489</v>
      </c>
      <c r="H1133" s="522">
        <v>8</v>
      </c>
      <c r="I1133" s="437">
        <v>5.6187700701091901</v>
      </c>
      <c r="J1133" s="437">
        <v>5.6201229503450998</v>
      </c>
      <c r="K1133" s="401">
        <v>5.6525259870072002</v>
      </c>
      <c r="L1133" s="2275">
        <v>4.0733022674940802</v>
      </c>
      <c r="M1133" s="1179">
        <v>4.4118659338576602</v>
      </c>
      <c r="N1133" s="856">
        <v>4.0830652738227098</v>
      </c>
      <c r="O1133" s="628">
        <v>6.8099474432191602</v>
      </c>
      <c r="P1133" s="823">
        <v>6.6224393698681601</v>
      </c>
      <c r="Q1133" s="2637">
        <v>6.83482953311632</v>
      </c>
      <c r="R1133" s="1181">
        <v>4.4743221555035797</v>
      </c>
      <c r="S1133" s="561">
        <v>4.5074435329445004</v>
      </c>
      <c r="T1133" s="740">
        <v>4.6992068241880602</v>
      </c>
    </row>
    <row r="1134" spans="1:20">
      <c r="A1134" t="s">
        <v>3490</v>
      </c>
      <c r="B1134" s="6" t="str">
        <f>HYPERLINK("http://www.ncbi.nlm.nih.gov/gene/100040724", "100040724")</f>
        <v>100040724</v>
      </c>
      <c r="C1134" s="6" t="str">
        <f>HYPERLINK("http://www.ncbi.nlm.nih.gov/gene/", "")</f>
        <v/>
      </c>
      <c r="D1134" t="str">
        <f>"Mirg"</f>
        <v>Mirg</v>
      </c>
      <c r="E1134" t="s">
        <v>3491</v>
      </c>
      <c r="H1134" s="522">
        <v>8</v>
      </c>
      <c r="I1134" s="242">
        <v>5.79255682290413</v>
      </c>
      <c r="J1134" s="474">
        <v>5.9740778128827099</v>
      </c>
      <c r="K1134" s="373">
        <v>6.0771464721536397</v>
      </c>
      <c r="L1134" s="2195">
        <v>5.4158446937892597</v>
      </c>
      <c r="M1134" s="1340">
        <v>5.3787760732915801</v>
      </c>
      <c r="N1134" s="1138">
        <v>5.1789826924650404</v>
      </c>
      <c r="O1134" s="1749">
        <v>6.7198330593429203</v>
      </c>
      <c r="P1134" s="571">
        <v>6.55000336366433</v>
      </c>
      <c r="Q1134" s="2638">
        <v>6.4313570693798301</v>
      </c>
      <c r="R1134" s="533">
        <v>5.5838594107754496</v>
      </c>
      <c r="S1134" s="1193">
        <v>5.3461244945872499</v>
      </c>
      <c r="T1134" s="723">
        <v>5.5670834152558104</v>
      </c>
    </row>
    <row r="1135" spans="1:20">
      <c r="A1135" t="s">
        <v>3492</v>
      </c>
      <c r="B1135" s="6" t="str">
        <f>HYPERLINK("http://www.ncbi.nlm.nih.gov/gene/15430", "15430")</f>
        <v>15430</v>
      </c>
      <c r="C1135" s="6" t="str">
        <f>HYPERLINK("http://www.ncbi.nlm.nih.gov/gene/3236", "3236")</f>
        <v>3236</v>
      </c>
      <c r="D1135" t="str">
        <f>"Hoxd10"</f>
        <v>Hoxd10</v>
      </c>
      <c r="E1135" t="s">
        <v>3493</v>
      </c>
      <c r="F1135" t="s">
        <v>3494</v>
      </c>
      <c r="H1135" s="522">
        <v>8</v>
      </c>
      <c r="I1135" s="38">
        <v>5.2153116682290603</v>
      </c>
      <c r="J1135" s="31">
        <v>5.2576385199968998</v>
      </c>
      <c r="K1135" s="287">
        <v>5.7560299891744098</v>
      </c>
      <c r="L1135" s="1950">
        <v>4.4653238278476701</v>
      </c>
      <c r="M1135" s="1087">
        <v>4.32997513453381</v>
      </c>
      <c r="N1135" s="1445">
        <v>3.7315786935304098</v>
      </c>
      <c r="O1135" s="1481">
        <v>6.9040918966389899</v>
      </c>
      <c r="P1135" s="648">
        <v>6.9408583082899797</v>
      </c>
      <c r="Q1135" s="1890">
        <v>7.0853224690051197</v>
      </c>
      <c r="R1135" s="560">
        <v>4.87318704973001</v>
      </c>
      <c r="S1135" s="1223">
        <v>4.5612207173951997</v>
      </c>
      <c r="T1135" s="1424">
        <v>4.8153774610949398</v>
      </c>
    </row>
    <row r="1136" spans="1:20">
      <c r="A1136" t="s">
        <v>3495</v>
      </c>
      <c r="B1136" s="6" t="str">
        <f>HYPERLINK("http://www.ncbi.nlm.nih.gov/gene/15431", "15431")</f>
        <v>15431</v>
      </c>
      <c r="C1136" s="6" t="str">
        <f>HYPERLINK("http://www.ncbi.nlm.nih.gov/gene/3237", "3237")</f>
        <v>3237</v>
      </c>
      <c r="D1136" t="str">
        <f>"Hoxd11"</f>
        <v>Hoxd11</v>
      </c>
      <c r="E1136" t="s">
        <v>3496</v>
      </c>
      <c r="F1136" t="s">
        <v>3500</v>
      </c>
      <c r="H1136" s="522">
        <v>8</v>
      </c>
      <c r="I1136" s="173">
        <v>4.9442663996056302</v>
      </c>
      <c r="J1136" s="320">
        <v>5.6136069844179399</v>
      </c>
      <c r="K1136" s="209">
        <v>4.9630928926376496</v>
      </c>
      <c r="L1136" s="2080">
        <v>3.7062287963345599</v>
      </c>
      <c r="M1136" s="1167">
        <v>3.6255568113393202</v>
      </c>
      <c r="N1136" s="1010">
        <v>3.5684904790053</v>
      </c>
      <c r="O1136" s="581">
        <v>7.3583039029326001</v>
      </c>
      <c r="P1136" s="902">
        <v>6.5611823954935797</v>
      </c>
      <c r="Q1136" s="2639">
        <v>7.1176955138916203</v>
      </c>
      <c r="R1136" s="544">
        <v>4.14280769468591</v>
      </c>
      <c r="S1136" s="1002">
        <v>4.1495695184651202</v>
      </c>
      <c r="T1136" s="780">
        <v>4.8016958968590302</v>
      </c>
    </row>
    <row r="1137" spans="1:20">
      <c r="A1137" t="s">
        <v>3501</v>
      </c>
      <c r="B1137" s="6" t="str">
        <f>HYPERLINK("http://www.ncbi.nlm.nih.gov/gene/209837", "209837")</f>
        <v>209837</v>
      </c>
      <c r="C1137" s="6" t="str">
        <f>HYPERLINK("http://www.ncbi.nlm.nih.gov/gene/92745", "92745")</f>
        <v>92745</v>
      </c>
      <c r="D1137" t="str">
        <f>"Slc38a5"</f>
        <v>Slc38a5</v>
      </c>
      <c r="E1137" t="s">
        <v>3502</v>
      </c>
      <c r="F1137" t="s">
        <v>3486</v>
      </c>
      <c r="H1137" s="522">
        <v>8</v>
      </c>
      <c r="I1137" s="205">
        <v>3.7696452062914099</v>
      </c>
      <c r="J1137" s="421">
        <v>3.9497370503291398</v>
      </c>
      <c r="K1137" s="303">
        <v>3.80659655121331</v>
      </c>
      <c r="L1137" s="2100">
        <v>3.0229206072473902</v>
      </c>
      <c r="M1137" s="708">
        <v>3.33676822646947</v>
      </c>
      <c r="N1137" s="1439">
        <v>3.0390475257688299</v>
      </c>
      <c r="O1137" s="692">
        <v>4.8543610226003899</v>
      </c>
      <c r="P1137" s="749">
        <v>4.5704638846180501</v>
      </c>
      <c r="Q1137" s="2640">
        <v>5.0089494304397997</v>
      </c>
      <c r="R1137" s="622">
        <v>3.31300972091864</v>
      </c>
      <c r="S1137" s="1332">
        <v>3.0817040037333499</v>
      </c>
      <c r="T1137" s="735">
        <v>3.2294069738842701</v>
      </c>
    </row>
    <row r="1138" spans="1:20">
      <c r="A1138" t="s">
        <v>3487</v>
      </c>
      <c r="B1138" s="6" t="str">
        <f>HYPERLINK("http://www.ncbi.nlm.nih.gov/gene/18008", "18008")</f>
        <v>18008</v>
      </c>
      <c r="C1138" s="6" t="str">
        <f>HYPERLINK("http://www.ncbi.nlm.nih.gov/gene/", "")</f>
        <v/>
      </c>
      <c r="D1138" t="str">
        <f>"Nes"</f>
        <v>Nes</v>
      </c>
      <c r="E1138" t="s">
        <v>3488</v>
      </c>
      <c r="F1138" t="s">
        <v>3510</v>
      </c>
      <c r="H1138" s="522">
        <v>8</v>
      </c>
      <c r="I1138" s="340">
        <v>5.04345441531758</v>
      </c>
      <c r="J1138" s="339">
        <v>4.8463531426035402</v>
      </c>
      <c r="K1138" s="230">
        <v>4.77253137143666</v>
      </c>
      <c r="L1138" s="2105">
        <v>4.1595453692277902</v>
      </c>
      <c r="M1138" s="1193">
        <v>4.1392689500652304</v>
      </c>
      <c r="N1138" s="1017">
        <v>4.0174331998974804</v>
      </c>
      <c r="O1138" s="1746">
        <v>5.4463359292014104</v>
      </c>
      <c r="P1138" s="689">
        <v>5.3706185729227203</v>
      </c>
      <c r="Q1138" s="1931">
        <v>5.2739279912513402</v>
      </c>
      <c r="R1138" s="992">
        <v>4.1932104588631303</v>
      </c>
      <c r="S1138" s="738">
        <v>4.47697364775021</v>
      </c>
      <c r="T1138" s="1750">
        <v>4.0727316011069297</v>
      </c>
    </row>
    <row r="1139" spans="1:20">
      <c r="A1139" t="s">
        <v>3511</v>
      </c>
      <c r="B1139" s="6" t="str">
        <f>HYPERLINK("http://www.ncbi.nlm.nih.gov/gene/57440", "57440")</f>
        <v>57440</v>
      </c>
      <c r="C1139" s="6" t="str">
        <f>HYPERLINK("http://www.ncbi.nlm.nih.gov/gene/30845", "30845")</f>
        <v>30845</v>
      </c>
      <c r="D1139" t="str">
        <f>"Ehd3"</f>
        <v>Ehd3</v>
      </c>
      <c r="E1139" t="s">
        <v>3512</v>
      </c>
      <c r="F1139" t="s">
        <v>3497</v>
      </c>
      <c r="G1139" t="s">
        <v>1290</v>
      </c>
      <c r="H1139" s="522">
        <v>8</v>
      </c>
      <c r="I1139" s="287">
        <v>6.0987148993315996</v>
      </c>
      <c r="J1139" s="147">
        <v>5.8263487946352202</v>
      </c>
      <c r="K1139" s="238">
        <v>5.86355321778339</v>
      </c>
      <c r="L1139" s="1869">
        <v>5.2653679369521802</v>
      </c>
      <c r="M1139" s="1174">
        <v>5.1347847433412603</v>
      </c>
      <c r="N1139" s="992">
        <v>5.2443115741641702</v>
      </c>
      <c r="O1139" s="1751">
        <v>6.8965762767816896</v>
      </c>
      <c r="P1139" s="718">
        <v>6.8444275131300802</v>
      </c>
      <c r="Q1139" s="1949">
        <v>6.8176150105975104</v>
      </c>
      <c r="R1139" s="1550">
        <v>5.0669834341434097</v>
      </c>
      <c r="S1139" s="550">
        <v>5.6767912074447802</v>
      </c>
      <c r="T1139" s="1310">
        <v>5.24840588622705</v>
      </c>
    </row>
    <row r="1140" spans="1:20">
      <c r="A1140" t="s">
        <v>3498</v>
      </c>
      <c r="B1140" s="6" t="str">
        <f>HYPERLINK("http://www.ncbi.nlm.nih.gov/gene/15405", "15405")</f>
        <v>15405</v>
      </c>
      <c r="C1140" s="6" t="str">
        <f>HYPERLINK("http://www.ncbi.nlm.nih.gov/gene/3205", "3205")</f>
        <v>3205</v>
      </c>
      <c r="D1140" t="str">
        <f>"Hoxa9"</f>
        <v>Hoxa9</v>
      </c>
      <c r="E1140" t="s">
        <v>3499</v>
      </c>
      <c r="F1140" t="s">
        <v>3521</v>
      </c>
      <c r="H1140" s="522">
        <v>8</v>
      </c>
      <c r="I1140" s="341">
        <v>4.5575980284639996</v>
      </c>
      <c r="J1140" s="255">
        <v>4.5729417103691103</v>
      </c>
      <c r="K1140" s="302">
        <v>4.5240716037113202</v>
      </c>
      <c r="L1140" s="2326">
        <v>3.4311154494147198</v>
      </c>
      <c r="M1140" s="641">
        <v>3.69246226027991</v>
      </c>
      <c r="N1140" s="1281">
        <v>3.5637257907901598</v>
      </c>
      <c r="O1140" s="760">
        <v>5.5445259853047997</v>
      </c>
      <c r="P1140" s="1022">
        <v>5.7221663875564603</v>
      </c>
      <c r="Q1140" s="2376">
        <v>5.5420812591240303</v>
      </c>
      <c r="R1140" s="555">
        <v>3.57107088603561</v>
      </c>
      <c r="S1140" s="669">
        <v>3.9631751975264602</v>
      </c>
      <c r="T1140" s="1298">
        <v>3.5033032015678098</v>
      </c>
    </row>
    <row r="1141" spans="1:20">
      <c r="A1141" t="s">
        <v>3522</v>
      </c>
      <c r="B1141" s="6" t="str">
        <f>HYPERLINK("http://www.ncbi.nlm.nih.gov/gene/56554", "56554")</f>
        <v>56554</v>
      </c>
      <c r="C1141" s="6" t="str">
        <f>HYPERLINK("http://www.ncbi.nlm.nih.gov/gene/", "")</f>
        <v/>
      </c>
      <c r="D1141" t="str">
        <f>"Raet1d"</f>
        <v>Raet1d</v>
      </c>
      <c r="E1141" t="s">
        <v>3523</v>
      </c>
      <c r="F1141" t="s">
        <v>3503</v>
      </c>
      <c r="G1141" t="s">
        <v>3504</v>
      </c>
      <c r="H1141" s="522">
        <v>8</v>
      </c>
      <c r="I1141" s="401">
        <v>4.4055227559520498</v>
      </c>
      <c r="J1141" s="365">
        <v>4.1702904084897003</v>
      </c>
      <c r="K1141" s="419">
        <v>4.67858002882521</v>
      </c>
      <c r="L1141" s="2094">
        <v>2.4983916004009599</v>
      </c>
      <c r="M1141" s="1442">
        <v>2.63576000571548</v>
      </c>
      <c r="N1141" s="538">
        <v>3.2593830288807899</v>
      </c>
      <c r="O1141" s="628">
        <v>5.76297778609859</v>
      </c>
      <c r="P1141" s="631">
        <v>5.6215825056658302</v>
      </c>
      <c r="Q1141" s="2641">
        <v>5.59049305415909</v>
      </c>
      <c r="R1141" s="1007">
        <v>3.0217395420271602</v>
      </c>
      <c r="S1141" s="851">
        <v>3.2827608114159199</v>
      </c>
      <c r="T1141" s="1415">
        <v>2.7710997297113602</v>
      </c>
    </row>
    <row r="1142" spans="1:20">
      <c r="A1142" t="s">
        <v>3505</v>
      </c>
      <c r="B1142" s="6" t="str">
        <f>HYPERLINK("http://www.ncbi.nlm.nih.gov/gene/72472", "72472")</f>
        <v>72472</v>
      </c>
      <c r="C1142" s="6" t="str">
        <f>HYPERLINK("http://www.ncbi.nlm.nih.gov/gene/117247", "117247")</f>
        <v>117247</v>
      </c>
      <c r="D1142" t="str">
        <f>"Slc16a10"</f>
        <v>Slc16a10</v>
      </c>
      <c r="E1142" t="s">
        <v>3506</v>
      </c>
      <c r="F1142" t="s">
        <v>3507</v>
      </c>
      <c r="G1142" t="s">
        <v>563</v>
      </c>
      <c r="H1142" s="522">
        <v>8</v>
      </c>
      <c r="I1142" s="481">
        <v>5.1952308686043098</v>
      </c>
      <c r="J1142" s="283">
        <v>4.9641666414606496</v>
      </c>
      <c r="K1142" s="348">
        <v>5.16409020032056</v>
      </c>
      <c r="L1142" s="2642">
        <v>3.5979904523844199</v>
      </c>
      <c r="M1142" s="863">
        <v>3.7279266836521399</v>
      </c>
      <c r="N1142" s="1040">
        <v>4.0568559970443898</v>
      </c>
      <c r="O1142" s="1742">
        <v>5.7764845603576704</v>
      </c>
      <c r="P1142" s="648">
        <v>5.9275700855464599</v>
      </c>
      <c r="Q1142" s="2643">
        <v>5.7207867881090202</v>
      </c>
      <c r="R1142" s="537">
        <v>4.1605909655195896</v>
      </c>
      <c r="S1142" s="604">
        <v>4.3701237102036599</v>
      </c>
      <c r="T1142" s="1573">
        <v>4.0498240256665303</v>
      </c>
    </row>
    <row r="1143" spans="1:20">
      <c r="A1143" t="s">
        <v>3508</v>
      </c>
      <c r="B1143" s="6" t="str">
        <f>HYPERLINK("http://www.ncbi.nlm.nih.gov/gene/70415", "70415")</f>
        <v>70415</v>
      </c>
      <c r="C1143" s="6" t="str">
        <f>HYPERLINK("http://www.ncbi.nlm.nih.gov/gene/51765", "51765")</f>
        <v>51765</v>
      </c>
      <c r="D1143" t="str">
        <f>"2610018G03Rik"</f>
        <v>2610018G03Rik</v>
      </c>
      <c r="E1143" t="s">
        <v>3509</v>
      </c>
      <c r="F1143" t="s">
        <v>3513</v>
      </c>
      <c r="H1143" s="522">
        <v>8</v>
      </c>
      <c r="I1143" s="251">
        <v>5.8671282842180803</v>
      </c>
      <c r="J1143" s="427">
        <v>5.5261522059702797</v>
      </c>
      <c r="K1143" s="364">
        <v>5.9264912148263402</v>
      </c>
      <c r="L1143" s="1945">
        <v>4.5312159359884596</v>
      </c>
      <c r="M1143" s="1412">
        <v>4.5267201789310798</v>
      </c>
      <c r="N1143" s="872">
        <v>4.7373252230755298</v>
      </c>
      <c r="O1143" s="1521">
        <v>6.2467295478956597</v>
      </c>
      <c r="P1143" s="558">
        <v>6.5716991832138802</v>
      </c>
      <c r="Q1143" s="1849">
        <v>6.7841246287868504</v>
      </c>
      <c r="R1143" s="1585">
        <v>4.46607088529246</v>
      </c>
      <c r="S1143" s="699">
        <v>5.1477954606172798</v>
      </c>
      <c r="T1143" s="843">
        <v>4.8827541281826203</v>
      </c>
    </row>
    <row r="1144" spans="1:20">
      <c r="A1144" t="s">
        <v>3514</v>
      </c>
      <c r="B1144" s="6" t="str">
        <f>HYPERLINK("http://www.ncbi.nlm.nih.gov/gene/633285", "633285")</f>
        <v>633285</v>
      </c>
      <c r="C1144" s="6" t="str">
        <f>HYPERLINK("http://www.ncbi.nlm.nih.gov/gene/166863", "166863")</f>
        <v>166863</v>
      </c>
      <c r="D1144" t="str">
        <f>"Rbm46"</f>
        <v>Rbm46</v>
      </c>
      <c r="E1144" t="s">
        <v>3515</v>
      </c>
      <c r="F1144" t="s">
        <v>774</v>
      </c>
      <c r="H1144" s="522">
        <v>8</v>
      </c>
      <c r="I1144" s="230">
        <v>5.3468063983163896</v>
      </c>
      <c r="J1144" s="249">
        <v>5.3037520425865203</v>
      </c>
      <c r="K1144" s="419">
        <v>5.6410780880508096</v>
      </c>
      <c r="L1144" s="2644">
        <v>4.1026622470661902</v>
      </c>
      <c r="M1144" s="573">
        <v>4.5927194837558201</v>
      </c>
      <c r="N1144" s="561">
        <v>4.5495066210332196</v>
      </c>
      <c r="O1144" s="1517">
        <v>6.2404530463044496</v>
      </c>
      <c r="P1144" s="1496">
        <v>6.2589686495637498</v>
      </c>
      <c r="Q1144" s="2639">
        <v>6.4399491262769297</v>
      </c>
      <c r="R1144" s="722">
        <v>4.2442142265855898</v>
      </c>
      <c r="S1144" s="659">
        <v>4.7318358256493802</v>
      </c>
      <c r="T1144" s="877">
        <v>4.5207358646127096</v>
      </c>
    </row>
    <row r="1145" spans="1:20">
      <c r="A1145" t="s">
        <v>3516</v>
      </c>
      <c r="B1145" s="6" t="str">
        <f>HYPERLINK("http://www.ncbi.nlm.nih.gov/gene/723842", "723842")</f>
        <v>723842</v>
      </c>
      <c r="C1145" s="6" t="str">
        <f>HYPERLINK("http://www.ncbi.nlm.nih.gov/gene/", "")</f>
        <v/>
      </c>
      <c r="D1145" t="str">
        <f>"Mir329"</f>
        <v>Mir329</v>
      </c>
      <c r="E1145" t="s">
        <v>3517</v>
      </c>
      <c r="F1145" t="s">
        <v>3518</v>
      </c>
      <c r="H1145" s="522">
        <v>8</v>
      </c>
      <c r="I1145" s="315">
        <v>6.31939793851459</v>
      </c>
      <c r="J1145" s="249">
        <v>6.1287025414524701</v>
      </c>
      <c r="K1145" s="437">
        <v>6.2131890096847302</v>
      </c>
      <c r="L1145" s="2195">
        <v>5.5751099948985701</v>
      </c>
      <c r="M1145" s="1664">
        <v>5.1992212465172596</v>
      </c>
      <c r="N1145" s="1272">
        <v>5.7735162701665796</v>
      </c>
      <c r="O1145" s="760">
        <v>6.8196003956106397</v>
      </c>
      <c r="P1145" s="558">
        <v>6.8048705229947801</v>
      </c>
      <c r="Q1145" s="2630">
        <v>6.7471633163133697</v>
      </c>
      <c r="R1145" s="670">
        <v>5.8737028351882703</v>
      </c>
      <c r="S1145" s="1160">
        <v>5.28285090631194</v>
      </c>
      <c r="T1145" s="601">
        <v>5.6843506669894799</v>
      </c>
    </row>
    <row r="1146" spans="1:20">
      <c r="A1146" t="s">
        <v>3519</v>
      </c>
      <c r="B1146" s="6" t="str">
        <f>HYPERLINK("http://www.ncbi.nlm.nih.gov/gene/14633", "14633")</f>
        <v>14633</v>
      </c>
      <c r="C1146" s="6" t="str">
        <f>HYPERLINK("http://www.ncbi.nlm.nih.gov/gene/2736", "2736")</f>
        <v>2736</v>
      </c>
      <c r="D1146" t="str">
        <f>"Gli2"</f>
        <v>Gli2</v>
      </c>
      <c r="E1146" t="s">
        <v>3520</v>
      </c>
      <c r="F1146" t="s">
        <v>3524</v>
      </c>
      <c r="G1146" t="s">
        <v>135</v>
      </c>
      <c r="H1146" s="522">
        <v>8</v>
      </c>
      <c r="I1146" s="340">
        <v>6.7792040984539303</v>
      </c>
      <c r="J1146" s="401">
        <v>6.5611354623852396</v>
      </c>
      <c r="K1146" s="364">
        <v>6.7081031625966299</v>
      </c>
      <c r="L1146" s="2645">
        <v>5.8133297717070302</v>
      </c>
      <c r="M1146" s="1143">
        <v>5.5840926150599302</v>
      </c>
      <c r="N1146" s="891">
        <v>5.9970803506132899</v>
      </c>
      <c r="O1146" s="1752">
        <v>7.06005210045348</v>
      </c>
      <c r="P1146" s="749">
        <v>7.0266148106680903</v>
      </c>
      <c r="Q1146" s="1851">
        <v>7.1731515610701102</v>
      </c>
      <c r="R1146" s="583">
        <v>6.0354240394773102</v>
      </c>
      <c r="S1146" s="987">
        <v>5.7592676678522903</v>
      </c>
      <c r="T1146" s="1298">
        <v>5.7838474904441597</v>
      </c>
    </row>
    <row r="1147" spans="1:20">
      <c r="A1147" t="s">
        <v>3525</v>
      </c>
      <c r="B1147" s="6" t="str">
        <f>HYPERLINK("http://www.ncbi.nlm.nih.gov/gene/98741", "98741")</f>
        <v>98741</v>
      </c>
      <c r="C1147" s="6" t="str">
        <f>HYPERLINK("http://www.ncbi.nlm.nih.gov/gene/9312", "9312")</f>
        <v>9312</v>
      </c>
      <c r="D1147" t="str">
        <f>"Kcnb2"</f>
        <v>Kcnb2</v>
      </c>
      <c r="E1147" t="s">
        <v>3526</v>
      </c>
      <c r="F1147" t="s">
        <v>3527</v>
      </c>
      <c r="H1147" s="522">
        <v>8</v>
      </c>
      <c r="I1147" s="33">
        <v>4.4159000042484902</v>
      </c>
      <c r="J1147" s="300">
        <v>4.4383693221995797</v>
      </c>
      <c r="K1147" s="437">
        <v>4.6236253295468401</v>
      </c>
      <c r="L1147" s="2033">
        <v>4.3150647091030896</v>
      </c>
      <c r="M1147" s="1173">
        <v>3.6080961395002902</v>
      </c>
      <c r="N1147" s="813">
        <v>4.5886597576170196</v>
      </c>
      <c r="O1147" s="803">
        <v>5.2612104546867302</v>
      </c>
      <c r="P1147" s="559">
        <v>5.1910880716001797</v>
      </c>
      <c r="Q1147" s="2646">
        <v>5.3542876054472703</v>
      </c>
      <c r="R1147" s="1412">
        <v>3.7662502558373201</v>
      </c>
      <c r="S1147" s="1340">
        <v>3.8903025776056901</v>
      </c>
      <c r="T1147" s="1753">
        <v>3.7198576692868799</v>
      </c>
    </row>
    <row r="1148" spans="1:20">
      <c r="A1148" t="s">
        <v>3528</v>
      </c>
      <c r="B1148" s="6" t="str">
        <f>HYPERLINK("http://www.ncbi.nlm.nih.gov/gene/100861571", "100861571")</f>
        <v>100861571</v>
      </c>
      <c r="C1148" s="6" t="str">
        <f>HYPERLINK("http://www.ncbi.nlm.nih.gov/gene/", "")</f>
        <v/>
      </c>
      <c r="D1148" t="str">
        <f>"LOC100861571"</f>
        <v>LOC100861571</v>
      </c>
      <c r="E1148" t="s">
        <v>3529</v>
      </c>
      <c r="H1148" s="522">
        <v>8</v>
      </c>
      <c r="I1148" s="326">
        <v>4.3238212336105999</v>
      </c>
      <c r="J1148" s="362">
        <v>4.5256163848526398</v>
      </c>
      <c r="K1148" s="406">
        <v>4.5239017917687399</v>
      </c>
      <c r="L1148" s="2039">
        <v>3.9054614789450799</v>
      </c>
      <c r="M1148" s="750">
        <v>4.1431339158466702</v>
      </c>
      <c r="N1148" s="1441">
        <v>3.1982893268142698</v>
      </c>
      <c r="O1148" s="896">
        <v>4.3715653492625401</v>
      </c>
      <c r="P1148" s="961">
        <v>4.4256458808705297</v>
      </c>
      <c r="Q1148" s="2647">
        <v>5.1572101653111302</v>
      </c>
      <c r="R1148" s="1139">
        <v>3.0794128682241801</v>
      </c>
      <c r="S1148" s="1321">
        <v>3.3028707604708001</v>
      </c>
      <c r="T1148" s="1290">
        <v>3.6907712280006302</v>
      </c>
    </row>
    <row r="1149" spans="1:20">
      <c r="A1149" t="s">
        <v>3530</v>
      </c>
      <c r="B1149" s="6" t="str">
        <f>HYPERLINK("http://www.ncbi.nlm.nih.gov/gene/14461", "14461")</f>
        <v>14461</v>
      </c>
      <c r="C1149" s="6" t="str">
        <f>HYPERLINK("http://www.ncbi.nlm.nih.gov/gene/2624", "2624")</f>
        <v>2624</v>
      </c>
      <c r="D1149" t="str">
        <f>"Gata2"</f>
        <v>Gata2</v>
      </c>
      <c r="E1149" t="s">
        <v>3531</v>
      </c>
      <c r="F1149" t="s">
        <v>3532</v>
      </c>
      <c r="H1149" s="522">
        <v>8</v>
      </c>
      <c r="I1149" s="339">
        <v>5.6711518389519799</v>
      </c>
      <c r="J1149" s="464">
        <v>5.6025958985078699</v>
      </c>
      <c r="K1149" s="229">
        <v>6.0150986210613402</v>
      </c>
      <c r="L1149" s="2278">
        <v>4.7350562164372896</v>
      </c>
      <c r="M1149" s="1087">
        <v>4.9043355309051897</v>
      </c>
      <c r="N1149" s="729">
        <v>4.8864974235270804</v>
      </c>
      <c r="O1149" s="1503">
        <v>6.2118115989505203</v>
      </c>
      <c r="P1149" s="571">
        <v>6.3063713736228397</v>
      </c>
      <c r="Q1149" s="1847">
        <v>6.2098443106113503</v>
      </c>
      <c r="R1149" s="864">
        <v>4.9647352528252302</v>
      </c>
      <c r="S1149" s="1181">
        <v>4.9782010702630703</v>
      </c>
      <c r="T1149" s="1602">
        <v>4.9191893653654502</v>
      </c>
    </row>
    <row r="1150" spans="1:20">
      <c r="A1150" t="s">
        <v>3533</v>
      </c>
      <c r="B1150" s="6" t="str">
        <f>HYPERLINK("http://www.ncbi.nlm.nih.gov/gene/104360", "104360")</f>
        <v>104360</v>
      </c>
      <c r="C1150" s="6" t="str">
        <f>HYPERLINK("http://www.ncbi.nlm.nih.gov/gene/64843", "64843")</f>
        <v>64843</v>
      </c>
      <c r="D1150" t="str">
        <f>"Isl2"</f>
        <v>Isl2</v>
      </c>
      <c r="E1150" t="s">
        <v>3534</v>
      </c>
      <c r="F1150" t="s">
        <v>3535</v>
      </c>
      <c r="H1150" s="522">
        <v>8</v>
      </c>
      <c r="I1150" s="292">
        <v>5.0488608933582801</v>
      </c>
      <c r="J1150" s="476">
        <v>4.9494819540189798</v>
      </c>
      <c r="K1150" s="500">
        <v>5.3615388112990896</v>
      </c>
      <c r="L1150" s="1861">
        <v>3.6640743493696402</v>
      </c>
      <c r="M1150" s="567">
        <v>3.6870299243467999</v>
      </c>
      <c r="N1150" s="1550">
        <v>3.44394825238557</v>
      </c>
      <c r="O1150" s="624">
        <v>6.0788226756806001</v>
      </c>
      <c r="P1150" s="755">
        <v>6.0613254195248203</v>
      </c>
      <c r="Q1150" s="2367">
        <v>6.0578636888894</v>
      </c>
      <c r="R1150" s="1281">
        <v>3.66162974295698</v>
      </c>
      <c r="S1150" s="864">
        <v>3.7794775943510999</v>
      </c>
      <c r="T1150" s="1573">
        <v>3.7552194985180098</v>
      </c>
    </row>
    <row r="1151" spans="1:20">
      <c r="A1151" t="s">
        <v>3536</v>
      </c>
      <c r="B1151" s="6" t="str">
        <f>HYPERLINK("http://www.ncbi.nlm.nih.gov/gene/77629", "77629")</f>
        <v>77629</v>
      </c>
      <c r="C1151" s="6" t="str">
        <f>HYPERLINK("http://www.ncbi.nlm.nih.gov/gene/80309", "80309")</f>
        <v>80309</v>
      </c>
      <c r="D1151" t="str">
        <f>"Sphkap"</f>
        <v>Sphkap</v>
      </c>
      <c r="E1151" t="s">
        <v>3537</v>
      </c>
      <c r="F1151" t="s">
        <v>3538</v>
      </c>
      <c r="H1151" s="522">
        <v>8</v>
      </c>
      <c r="I1151" s="364">
        <v>6.1292368967356703</v>
      </c>
      <c r="J1151" s="230">
        <v>5.81127059190087</v>
      </c>
      <c r="K1151" s="451">
        <v>6.1952298346312</v>
      </c>
      <c r="L1151" s="1889">
        <v>4.8765497624585903</v>
      </c>
      <c r="M1151" s="1040">
        <v>4.9198437667093797</v>
      </c>
      <c r="N1151" s="993">
        <v>4.9329919569953198</v>
      </c>
      <c r="O1151" s="768">
        <v>6.6784003262955496</v>
      </c>
      <c r="P1151" s="1132">
        <v>6.7487764405481103</v>
      </c>
      <c r="Q1151" s="2378">
        <v>6.8255733970779602</v>
      </c>
      <c r="R1151" s="876">
        <v>4.9031980338384198</v>
      </c>
      <c r="S1151" s="1017">
        <v>4.5984216307040198</v>
      </c>
      <c r="T1151" s="1341">
        <v>4.7986425539671798</v>
      </c>
    </row>
    <row r="1152" spans="1:20">
      <c r="A1152" t="s">
        <v>3539</v>
      </c>
      <c r="B1152" s="6" t="str">
        <f>HYPERLINK("http://www.ncbi.nlm.nih.gov/gene/723839", "723839")</f>
        <v>723839</v>
      </c>
      <c r="C1152" s="6" t="str">
        <f>HYPERLINK("http://www.ncbi.nlm.nih.gov/gene/", "")</f>
        <v/>
      </c>
      <c r="D1152" t="str">
        <f>"Mir323"</f>
        <v>Mir323</v>
      </c>
      <c r="E1152" t="s">
        <v>3540</v>
      </c>
      <c r="H1152" s="522">
        <v>8</v>
      </c>
      <c r="I1152" s="504">
        <v>4.2931480760702003</v>
      </c>
      <c r="J1152" s="325">
        <v>4.1732180310913503</v>
      </c>
      <c r="K1152" s="29">
        <v>4.6230771719573296</v>
      </c>
      <c r="L1152" s="1860">
        <v>2.9526471740161999</v>
      </c>
      <c r="M1152" s="1181">
        <v>3.1740765832142599</v>
      </c>
      <c r="N1152" s="997">
        <v>3.1045338651430101</v>
      </c>
      <c r="O1152" s="1737">
        <v>4.8407748173248999</v>
      </c>
      <c r="P1152" s="1120">
        <v>4.7145011395067504</v>
      </c>
      <c r="Q1152" s="2366">
        <v>4.5733241759036298</v>
      </c>
      <c r="R1152" s="1153">
        <v>2.9878789642208301</v>
      </c>
      <c r="S1152" s="1153">
        <v>2.9899642681035798</v>
      </c>
      <c r="T1152" s="860">
        <v>3.0560605291162299</v>
      </c>
    </row>
    <row r="1153" spans="1:20">
      <c r="A1153" t="s">
        <v>3541</v>
      </c>
      <c r="B1153" s="6" t="str">
        <f>HYPERLINK("http://www.ncbi.nlm.nih.gov/gene/14560", "14560")</f>
        <v>14560</v>
      </c>
      <c r="C1153" s="6" t="str">
        <f>HYPERLINK("http://www.ncbi.nlm.nih.gov/gene/2662", "2662")</f>
        <v>2662</v>
      </c>
      <c r="D1153" t="str">
        <f>"Gdf10"</f>
        <v>Gdf10</v>
      </c>
      <c r="E1153" t="s">
        <v>3542</v>
      </c>
      <c r="F1153" t="s">
        <v>3543</v>
      </c>
      <c r="H1153" s="522">
        <v>8</v>
      </c>
      <c r="I1153" s="481">
        <v>6.1115917601028098</v>
      </c>
      <c r="J1153" s="431">
        <v>6.0683628961347296</v>
      </c>
      <c r="K1153" s="322">
        <v>6.5123639705666001</v>
      </c>
      <c r="L1153" s="2070">
        <v>4.8446145227485404</v>
      </c>
      <c r="M1153" s="864">
        <v>4.83499180595122</v>
      </c>
      <c r="N1153" s="1364">
        <v>4.5697728239940796</v>
      </c>
      <c r="O1153" s="1743">
        <v>6.6777794810668798</v>
      </c>
      <c r="P1153" s="749">
        <v>6.6679712725570202</v>
      </c>
      <c r="Q1153" s="2648">
        <v>6.7317587832650796</v>
      </c>
      <c r="R1153" s="1337">
        <v>4.6071952299585401</v>
      </c>
      <c r="S1153" s="1340">
        <v>4.7423562844754796</v>
      </c>
      <c r="T1153" s="870">
        <v>4.5958491786403899</v>
      </c>
    </row>
    <row r="1154" spans="1:20">
      <c r="A1154" t="s">
        <v>3544</v>
      </c>
      <c r="B1154" s="6" t="str">
        <f>HYPERLINK("http://www.ncbi.nlm.nih.gov/gene/12950", "12950")</f>
        <v>12950</v>
      </c>
      <c r="C1154" s="6" t="str">
        <f>HYPERLINK("http://www.ncbi.nlm.nih.gov/gene/1404", "1404")</f>
        <v>1404</v>
      </c>
      <c r="D1154" t="str">
        <f>"Hapln1"</f>
        <v>Hapln1</v>
      </c>
      <c r="E1154" t="s">
        <v>3545</v>
      </c>
      <c r="F1154" t="s">
        <v>3546</v>
      </c>
      <c r="H1154" s="522">
        <v>8</v>
      </c>
      <c r="I1154" s="251">
        <v>6.7381078548001501</v>
      </c>
      <c r="J1154" s="417">
        <v>7.0662043359399398</v>
      </c>
      <c r="K1154" s="418">
        <v>7.1807511025209498</v>
      </c>
      <c r="L1154" s="1947">
        <v>3.50366623618691</v>
      </c>
      <c r="M1154" s="729">
        <v>3.66619362992859</v>
      </c>
      <c r="N1154" s="1017">
        <v>3.1133049167711602</v>
      </c>
      <c r="O1154" s="1503">
        <v>8.2753041453528802</v>
      </c>
      <c r="P1154" s="902">
        <v>8.01251820993342</v>
      </c>
      <c r="Q1154" s="2362">
        <v>8.3325957377246809</v>
      </c>
      <c r="R1154" s="555">
        <v>3.7168761585432302</v>
      </c>
      <c r="S1154" s="993">
        <v>3.93248303811581</v>
      </c>
      <c r="T1154" s="709">
        <v>3.9446741547327302</v>
      </c>
    </row>
    <row r="1155" spans="1:20">
      <c r="A1155" t="s">
        <v>3547</v>
      </c>
      <c r="B1155" s="6" t="str">
        <f>HYPERLINK("http://www.ncbi.nlm.nih.gov/gene/22762", "22762")</f>
        <v>22762</v>
      </c>
      <c r="C1155" s="6" t="str">
        <f>HYPERLINK("http://www.ncbi.nlm.nih.gov/gene/23414", "23414")</f>
        <v>23414</v>
      </c>
      <c r="D1155" t="str">
        <f>"Zfpm2"</f>
        <v>Zfpm2</v>
      </c>
      <c r="E1155" t="s">
        <v>3548</v>
      </c>
      <c r="F1155" t="s">
        <v>3549</v>
      </c>
      <c r="H1155" s="522">
        <v>8</v>
      </c>
      <c r="I1155" s="435">
        <v>6.1187556123285001</v>
      </c>
      <c r="J1155" s="431">
        <v>5.9423873688795803</v>
      </c>
      <c r="K1155" s="419">
        <v>6.0306394684323896</v>
      </c>
      <c r="L1155" s="2275">
        <v>3.7368427034531</v>
      </c>
      <c r="M1155" s="566">
        <v>4.2446774181204798</v>
      </c>
      <c r="N1155" s="1319">
        <v>3.7209514787176299</v>
      </c>
      <c r="O1155" s="795">
        <v>7.1116442823224597</v>
      </c>
      <c r="P1155" s="1082">
        <v>6.7147158411112802</v>
      </c>
      <c r="Q1155" s="1946">
        <v>6.9703163287323502</v>
      </c>
      <c r="R1155" s="1029">
        <v>4.0440410311761701</v>
      </c>
      <c r="S1155" s="1179">
        <v>4.1552006463932303</v>
      </c>
      <c r="T1155" s="1372">
        <v>4.3605970636039801</v>
      </c>
    </row>
    <row r="1156" spans="1:20">
      <c r="A1156" t="s">
        <v>3550</v>
      </c>
      <c r="B1156" s="6" t="str">
        <f>HYPERLINK("http://www.ncbi.nlm.nih.gov/gene/24051", "24051")</f>
        <v>24051</v>
      </c>
      <c r="C1156" s="6" t="str">
        <f>HYPERLINK("http://www.ncbi.nlm.nih.gov/gene/6443", "6443")</f>
        <v>6443</v>
      </c>
      <c r="D1156" t="str">
        <f>"Sgcb"</f>
        <v>Sgcb</v>
      </c>
      <c r="E1156" t="s">
        <v>3551</v>
      </c>
      <c r="F1156" t="s">
        <v>3552</v>
      </c>
      <c r="G1156" t="s">
        <v>1964</v>
      </c>
      <c r="H1156" s="522">
        <v>8</v>
      </c>
      <c r="I1156" s="364">
        <v>6.8813660427743804</v>
      </c>
      <c r="J1156" s="434">
        <v>6.6856881506892902</v>
      </c>
      <c r="K1156" s="340">
        <v>7.0021460514802296</v>
      </c>
      <c r="L1156" s="1911">
        <v>5.00794659486127</v>
      </c>
      <c r="M1156" s="876">
        <v>5.4257467284184298</v>
      </c>
      <c r="N1156" s="1306">
        <v>5.1882807893906397</v>
      </c>
      <c r="O1156" s="865">
        <v>7.5725714166510203</v>
      </c>
      <c r="P1156" s="769">
        <v>7.5083674496809003</v>
      </c>
      <c r="Q1156" s="2377">
        <v>7.5377785957096304</v>
      </c>
      <c r="R1156" s="729">
        <v>5.3296885926851196</v>
      </c>
      <c r="S1156" s="1343">
        <v>5.6766853382316196</v>
      </c>
      <c r="T1156" s="1754">
        <v>5.3951925256420497</v>
      </c>
    </row>
    <row r="1157" spans="1:20">
      <c r="A1157" t="s">
        <v>3553</v>
      </c>
      <c r="B1157" s="6" t="str">
        <f>HYPERLINK("http://www.ncbi.nlm.nih.gov/gene/67606", "67606")</f>
        <v>67606</v>
      </c>
      <c r="C1157" s="6" t="str">
        <f>HYPERLINK("http://www.ncbi.nlm.nih.gov/gene/387758", "387758")</f>
        <v>387758</v>
      </c>
      <c r="D1157" t="str">
        <f>"Fibin"</f>
        <v>Fibin</v>
      </c>
      <c r="E1157" t="s">
        <v>3554</v>
      </c>
      <c r="F1157" t="s">
        <v>3555</v>
      </c>
      <c r="H1157" s="522">
        <v>8</v>
      </c>
      <c r="I1157" s="431">
        <v>5.5917877106708396</v>
      </c>
      <c r="J1157" s="403">
        <v>5.87362649670695</v>
      </c>
      <c r="K1157" s="395">
        <v>5.9574383207141697</v>
      </c>
      <c r="L1157" s="1867">
        <v>4.1086874016464501</v>
      </c>
      <c r="M1157" s="992">
        <v>4.1058384693405099</v>
      </c>
      <c r="N1157" s="1448">
        <v>3.76332161304145</v>
      </c>
      <c r="O1157" s="1755">
        <v>6.0254112130030304</v>
      </c>
      <c r="P1157" s="1157">
        <v>6.4054455937920096</v>
      </c>
      <c r="Q1157" s="1922">
        <v>6.4508203493381098</v>
      </c>
      <c r="R1157" s="1367">
        <v>4.2667557337286297</v>
      </c>
      <c r="S1157" s="1302">
        <v>3.9892273469563801</v>
      </c>
      <c r="T1157" s="1378">
        <v>3.8708347965882499</v>
      </c>
    </row>
    <row r="1158" spans="1:20">
      <c r="A1158" t="s">
        <v>3556</v>
      </c>
      <c r="B1158" s="6" t="str">
        <f>HYPERLINK("http://www.ncbi.nlm.nih.gov/gene/14537", "14537")</f>
        <v>14537</v>
      </c>
      <c r="C1158" s="6" t="str">
        <f>HYPERLINK("http://www.ncbi.nlm.nih.gov/gene/2650", "2650")</f>
        <v>2650</v>
      </c>
      <c r="D1158" t="str">
        <f>"Gcnt1"</f>
        <v>Gcnt1</v>
      </c>
      <c r="E1158" t="s">
        <v>3557</v>
      </c>
      <c r="F1158" t="s">
        <v>3558</v>
      </c>
      <c r="G1158" t="s">
        <v>698</v>
      </c>
      <c r="H1158" s="522">
        <v>8</v>
      </c>
      <c r="I1158" s="326">
        <v>4.9027712531242003</v>
      </c>
      <c r="J1158" s="417">
        <v>5.1672336952417099</v>
      </c>
      <c r="K1158" s="453">
        <v>5.1844201645883299</v>
      </c>
      <c r="L1158" s="2649">
        <v>3.3719010036192598</v>
      </c>
      <c r="M1158" s="729">
        <v>3.48532783871268</v>
      </c>
      <c r="N1158" s="1289">
        <v>3.4361437169974498</v>
      </c>
      <c r="O1158" s="1752">
        <v>5.7236728995215502</v>
      </c>
      <c r="P1158" s="902">
        <v>5.6407858611963899</v>
      </c>
      <c r="Q1158" s="1851">
        <v>5.91626266480431</v>
      </c>
      <c r="R1158" s="572">
        <v>3.7877058230555898</v>
      </c>
      <c r="S1158" s="1323">
        <v>3.2710212552845999</v>
      </c>
      <c r="T1158" s="1421">
        <v>3.5769103738750001</v>
      </c>
    </row>
    <row r="1159" spans="1:20">
      <c r="A1159" t="s">
        <v>3559</v>
      </c>
      <c r="B1159" s="6" t="str">
        <f>HYPERLINK("http://www.ncbi.nlm.nih.gov/gene/77015", "77015")</f>
        <v>77015</v>
      </c>
      <c r="C1159" s="6" t="str">
        <f>HYPERLINK("http://www.ncbi.nlm.nih.gov/gene/744", "744")</f>
        <v>744</v>
      </c>
      <c r="D1159" t="str">
        <f>"Mpped2"</f>
        <v>Mpped2</v>
      </c>
      <c r="E1159" t="s">
        <v>3560</v>
      </c>
      <c r="F1159" t="s">
        <v>3561</v>
      </c>
      <c r="H1159" s="522">
        <v>8</v>
      </c>
      <c r="I1159" s="435">
        <v>8.9380198174386791</v>
      </c>
      <c r="J1159" s="246">
        <v>8.8815289802218302</v>
      </c>
      <c r="K1159" s="364">
        <v>8.9098670626292602</v>
      </c>
      <c r="L1159" s="1835">
        <v>8.2667887462951608</v>
      </c>
      <c r="M1159" s="641">
        <v>8.1358248529244008</v>
      </c>
      <c r="N1159" s="592">
        <v>8.2819893412460992</v>
      </c>
      <c r="O1159" s="1743">
        <v>9.2269721764136907</v>
      </c>
      <c r="P1159" s="1233">
        <v>9.1880682877779005</v>
      </c>
      <c r="Q1159" s="2376">
        <v>9.3539517118149096</v>
      </c>
      <c r="R1159" s="1691">
        <v>7.8316543712281002</v>
      </c>
      <c r="S1159" s="722">
        <v>7.9318049476281001</v>
      </c>
      <c r="T1159" s="1325">
        <v>7.86889207055986</v>
      </c>
    </row>
    <row r="1160" spans="1:20">
      <c r="A1160" t="s">
        <v>3562</v>
      </c>
      <c r="B1160" s="6" t="str">
        <f>HYPERLINK("http://www.ncbi.nlm.nih.gov/gene/20377", "20377")</f>
        <v>20377</v>
      </c>
      <c r="C1160" s="6" t="str">
        <f>HYPERLINK("http://www.ncbi.nlm.nih.gov/gene/6422", "6422")</f>
        <v>6422</v>
      </c>
      <c r="D1160" t="str">
        <f>"Sfrp1"</f>
        <v>Sfrp1</v>
      </c>
      <c r="E1160" t="s">
        <v>3563</v>
      </c>
      <c r="F1160" t="s">
        <v>3564</v>
      </c>
      <c r="G1160" t="s">
        <v>611</v>
      </c>
      <c r="H1160" s="522">
        <v>8</v>
      </c>
      <c r="I1160" s="453">
        <v>9.5536399552355</v>
      </c>
      <c r="J1160" s="435">
        <v>9.4705777778140305</v>
      </c>
      <c r="K1160" s="453">
        <v>9.5498722329423291</v>
      </c>
      <c r="L1160" s="1858">
        <v>7.3423882878428097</v>
      </c>
      <c r="M1160" s="622">
        <v>7.5413157106581004</v>
      </c>
      <c r="N1160" s="619">
        <v>7.3781886170214799</v>
      </c>
      <c r="O1160" s="717">
        <v>10.3269232960322</v>
      </c>
      <c r="P1160" s="1220">
        <v>10.0952902050623</v>
      </c>
      <c r="Q1160" s="2650">
        <v>10.430079711875599</v>
      </c>
      <c r="R1160" s="1321">
        <v>6.6383644171446203</v>
      </c>
      <c r="S1160" s="722">
        <v>6.7654022208215903</v>
      </c>
      <c r="T1160" s="1756">
        <v>6.6273457017872603</v>
      </c>
    </row>
    <row r="1161" spans="1:20">
      <c r="A1161" t="s">
        <v>3578</v>
      </c>
      <c r="B1161" s="6" t="str">
        <f>HYPERLINK("http://www.ncbi.nlm.nih.gov/gene/19731", "19731")</f>
        <v>19731</v>
      </c>
      <c r="C1161" s="6" t="str">
        <f>HYPERLINK("http://www.ncbi.nlm.nih.gov/gene/23179", "23179")</f>
        <v>23179</v>
      </c>
      <c r="D1161" t="str">
        <f>"Rgl1"</f>
        <v>Rgl1</v>
      </c>
      <c r="E1161" t="s">
        <v>3579</v>
      </c>
      <c r="F1161" t="s">
        <v>3580</v>
      </c>
      <c r="H1161" s="522">
        <v>8</v>
      </c>
      <c r="I1161" s="417">
        <v>7.5873751548020403</v>
      </c>
      <c r="J1161" s="419">
        <v>7.4976400107129804</v>
      </c>
      <c r="K1161" s="334">
        <v>7.7125927935197298</v>
      </c>
      <c r="L1161" s="2089">
        <v>6.4221765897100802</v>
      </c>
      <c r="M1161" s="1040">
        <v>6.2698911837371103</v>
      </c>
      <c r="N1161" s="715">
        <v>6.4293054534606204</v>
      </c>
      <c r="O1161" s="1757">
        <v>8.1440522592312998</v>
      </c>
      <c r="P1161" s="1220">
        <v>7.9181034872811997</v>
      </c>
      <c r="Q1161" s="2370">
        <v>7.9629869112713099</v>
      </c>
      <c r="R1161" s="1308">
        <v>6.0822905730083798</v>
      </c>
      <c r="S1161" s="1330">
        <v>6.05630022853867</v>
      </c>
      <c r="T1161" s="1758">
        <v>5.7229519033227803</v>
      </c>
    </row>
    <row r="1162" spans="1:20">
      <c r="A1162" t="s">
        <v>3581</v>
      </c>
      <c r="B1162" s="6" t="str">
        <f>HYPERLINK("http://www.ncbi.nlm.nih.gov/gene/268935", "268935")</f>
        <v>268935</v>
      </c>
      <c r="C1162" s="6" t="str">
        <f>HYPERLINK("http://www.ncbi.nlm.nih.gov/gene/222663", "222663")</f>
        <v>222663</v>
      </c>
      <c r="D1162" t="str">
        <f>"Scube3"</f>
        <v>Scube3</v>
      </c>
      <c r="E1162" t="s">
        <v>3582</v>
      </c>
      <c r="F1162" t="s">
        <v>3583</v>
      </c>
      <c r="H1162" s="522">
        <v>8</v>
      </c>
      <c r="I1162" s="381">
        <v>6.1853568475049903</v>
      </c>
      <c r="J1162" s="422">
        <v>5.8646945896524496</v>
      </c>
      <c r="K1162" s="495">
        <v>6.0619248626057001</v>
      </c>
      <c r="L1162" s="2084">
        <v>4.7989979891713404</v>
      </c>
      <c r="M1162" s="537">
        <v>4.8907132713396102</v>
      </c>
      <c r="N1162" s="1272">
        <v>5.0783296983447803</v>
      </c>
      <c r="O1162" s="1741">
        <v>6.4531069147405704</v>
      </c>
      <c r="P1162" s="1082">
        <v>6.4048413054653803</v>
      </c>
      <c r="Q1162" s="2643">
        <v>6.4935077670008399</v>
      </c>
      <c r="R1162" s="997">
        <v>4.7422618348323002</v>
      </c>
      <c r="S1162" s="1759">
        <v>4.1330990154340697</v>
      </c>
      <c r="T1162" s="1760">
        <v>4.55305370134091</v>
      </c>
    </row>
    <row r="1163" spans="1:20">
      <c r="A1163" t="s">
        <v>3584</v>
      </c>
      <c r="B1163" s="6" t="str">
        <f>HYPERLINK("http://www.ncbi.nlm.nih.gov/gene/23966", "23966")</f>
        <v>23966</v>
      </c>
      <c r="C1163" s="6" t="str">
        <f>HYPERLINK("http://www.ncbi.nlm.nih.gov/gene/26011", "26011")</f>
        <v>26011</v>
      </c>
      <c r="D1163" t="str">
        <f>"Odz4"</f>
        <v>Odz4</v>
      </c>
      <c r="E1163" t="s">
        <v>3585</v>
      </c>
      <c r="F1163" t="s">
        <v>3586</v>
      </c>
      <c r="H1163" s="522">
        <v>8</v>
      </c>
      <c r="I1163" s="369">
        <v>7.9085877212714202</v>
      </c>
      <c r="J1163" s="373">
        <v>7.5717827608702803</v>
      </c>
      <c r="K1163" s="294">
        <v>7.6457250415639901</v>
      </c>
      <c r="L1163" s="1933">
        <v>6.5669691786960103</v>
      </c>
      <c r="M1163" s="659">
        <v>6.7621259327693704</v>
      </c>
      <c r="N1163" s="662">
        <v>6.6975658092151198</v>
      </c>
      <c r="O1163" s="1761">
        <v>8.1498937062340993</v>
      </c>
      <c r="P1163" s="1082">
        <v>8.0703733423698196</v>
      </c>
      <c r="Q1163" s="2651">
        <v>8.1776120114018607</v>
      </c>
      <c r="R1163" s="1087">
        <v>6.4682011509783299</v>
      </c>
      <c r="S1163" s="727">
        <v>6.1357540245345499</v>
      </c>
      <c r="T1163" s="1762">
        <v>6.0801011604899804</v>
      </c>
    </row>
    <row r="1164" spans="1:20">
      <c r="A1164" t="s">
        <v>3587</v>
      </c>
      <c r="B1164" s="6" t="str">
        <f>HYPERLINK("http://www.ncbi.nlm.nih.gov/gene/12035", "12035")</f>
        <v>12035</v>
      </c>
      <c r="C1164" s="6" t="str">
        <f>HYPERLINK("http://www.ncbi.nlm.nih.gov/gene/586", "586")</f>
        <v>586</v>
      </c>
      <c r="D1164" t="str">
        <f>"Bcat1"</f>
        <v>Bcat1</v>
      </c>
      <c r="E1164" t="s">
        <v>3588</v>
      </c>
      <c r="F1164" t="s">
        <v>3565</v>
      </c>
      <c r="G1164" t="s">
        <v>3597</v>
      </c>
      <c r="H1164" s="522">
        <v>8</v>
      </c>
      <c r="I1164" s="286">
        <v>5.8830596413236496</v>
      </c>
      <c r="J1164" s="255">
        <v>5.7598000976316204</v>
      </c>
      <c r="K1164" s="403">
        <v>6.22245557683976</v>
      </c>
      <c r="L1164" s="2652">
        <v>4.5941388640823799</v>
      </c>
      <c r="M1164" s="619">
        <v>4.8798346341528704</v>
      </c>
      <c r="N1164" s="594">
        <v>5.0883368251821901</v>
      </c>
      <c r="O1164" s="1746">
        <v>6.85432500645652</v>
      </c>
      <c r="P1164" s="1120">
        <v>6.5676073757038802</v>
      </c>
      <c r="Q1164" s="1946">
        <v>6.6819568170837096</v>
      </c>
      <c r="R1164" s="1412">
        <v>4.5370514589023596</v>
      </c>
      <c r="S1164" s="1302">
        <v>4.6564191567151001</v>
      </c>
      <c r="T1164" s="1760">
        <v>4.5422940239906398</v>
      </c>
    </row>
    <row r="1165" spans="1:20">
      <c r="A1165" t="s">
        <v>3598</v>
      </c>
      <c r="B1165" s="6" t="str">
        <f>HYPERLINK("http://www.ncbi.nlm.nih.gov/gene/26427", "26427")</f>
        <v>26427</v>
      </c>
      <c r="C1165" s="6" t="str">
        <f>HYPERLINK("http://www.ncbi.nlm.nih.gov/gene/90993", "90993")</f>
        <v>90993</v>
      </c>
      <c r="D1165" t="str">
        <f>"Creb3l1"</f>
        <v>Creb3l1</v>
      </c>
      <c r="E1165" t="s">
        <v>3599</v>
      </c>
      <c r="F1165" t="s">
        <v>3600</v>
      </c>
      <c r="G1165" t="s">
        <v>3601</v>
      </c>
      <c r="H1165" s="522">
        <v>8</v>
      </c>
      <c r="I1165" s="294">
        <v>6.4919977886440803</v>
      </c>
      <c r="J1165" s="292">
        <v>6.3470592313071501</v>
      </c>
      <c r="K1165" s="324">
        <v>6.3632168124603403</v>
      </c>
      <c r="L1165" s="1937">
        <v>5.2605925625848</v>
      </c>
      <c r="M1165" s="712">
        <v>5.5700910401471599</v>
      </c>
      <c r="N1165" s="594">
        <v>5.6406009484862896</v>
      </c>
      <c r="O1165" s="1747">
        <v>7.2214571063296402</v>
      </c>
      <c r="P1165" s="558">
        <v>7.1498329079465002</v>
      </c>
      <c r="Q1165" s="2370">
        <v>6.9283659616817097</v>
      </c>
      <c r="R1165" s="1439">
        <v>5.2221097613461698</v>
      </c>
      <c r="S1165" s="1153">
        <v>5.2160826769100996</v>
      </c>
      <c r="T1165" s="1763">
        <v>4.9682106837831599</v>
      </c>
    </row>
    <row r="1166" spans="1:20">
      <c r="A1166" t="s">
        <v>3602</v>
      </c>
      <c r="B1166" s="6" t="str">
        <f>HYPERLINK("http://www.ncbi.nlm.nih.gov/gene/68285", "68285")</f>
        <v>68285</v>
      </c>
      <c r="C1166" s="6" t="str">
        <f>HYPERLINK("http://www.ncbi.nlm.nih.gov/gene/", "")</f>
        <v/>
      </c>
      <c r="D1166" t="str">
        <f>"C630043F03Rik"</f>
        <v>C630043F03Rik</v>
      </c>
      <c r="E1166" t="s">
        <v>3573</v>
      </c>
      <c r="F1166" t="s">
        <v>90</v>
      </c>
      <c r="H1166" s="522">
        <v>8</v>
      </c>
      <c r="I1166" s="359">
        <v>6.4311549151704899</v>
      </c>
      <c r="J1166" s="364">
        <v>6.2730902368890504</v>
      </c>
      <c r="K1166" s="78">
        <v>6.7849740651108501</v>
      </c>
      <c r="L1166" s="2571">
        <v>5.5517308964443197</v>
      </c>
      <c r="M1166" s="561">
        <v>5.1480905331794702</v>
      </c>
      <c r="N1166" s="1337">
        <v>4.9045371271449296</v>
      </c>
      <c r="O1166" s="1511">
        <v>6.5045034716341403</v>
      </c>
      <c r="P1166" s="902">
        <v>6.7236824320556599</v>
      </c>
      <c r="Q1166" s="2365">
        <v>6.5565876812126298</v>
      </c>
      <c r="R1166" s="1025">
        <v>4.7185902580263397</v>
      </c>
      <c r="S1166" s="1174">
        <v>4.9241677404491604</v>
      </c>
      <c r="T1166" s="1764">
        <v>4.7597147374762798</v>
      </c>
    </row>
    <row r="1167" spans="1:20">
      <c r="A1167" t="s">
        <v>3574</v>
      </c>
      <c r="B1167" s="6" t="str">
        <f>HYPERLINK("http://www.ncbi.nlm.nih.gov/gene/14747", "14747")</f>
        <v>14747</v>
      </c>
      <c r="C1167" s="6" t="str">
        <f>HYPERLINK("http://www.ncbi.nlm.nih.gov/gene/1240", "1240")</f>
        <v>1240</v>
      </c>
      <c r="D1167" t="str">
        <f>"Cmklr1"</f>
        <v>Cmklr1</v>
      </c>
      <c r="E1167" t="s">
        <v>3575</v>
      </c>
      <c r="F1167" t="s">
        <v>3566</v>
      </c>
      <c r="H1167" s="522">
        <v>8</v>
      </c>
      <c r="I1167" s="483">
        <v>5.6876291065268996</v>
      </c>
      <c r="J1167" s="286">
        <v>4.7075609911860896</v>
      </c>
      <c r="K1167" s="447">
        <v>5.1423059580910202</v>
      </c>
      <c r="L1167" s="2146">
        <v>3.5882472369444698</v>
      </c>
      <c r="M1167" s="864">
        <v>3.4746737542187001</v>
      </c>
      <c r="N1167" s="688">
        <v>3.5468039180465198</v>
      </c>
      <c r="O1167" s="1511">
        <v>5.1957560654988404</v>
      </c>
      <c r="P1167" s="904">
        <v>5.4415591431088899</v>
      </c>
      <c r="Q1167" s="1968">
        <v>5.34127427473131</v>
      </c>
      <c r="R1167" s="1029">
        <v>3.3477658705908899</v>
      </c>
      <c r="S1167" s="1160">
        <v>2.91244966372851</v>
      </c>
      <c r="T1167" s="1765">
        <v>3.1681079045338398</v>
      </c>
    </row>
    <row r="1168" spans="1:20">
      <c r="A1168" t="s">
        <v>3567</v>
      </c>
      <c r="B1168" s="6" t="str">
        <f>HYPERLINK("http://www.ncbi.nlm.nih.gov/gene/100306944", "100306944")</f>
        <v>100306944</v>
      </c>
      <c r="C1168" s="6" t="str">
        <f>HYPERLINK("http://www.ncbi.nlm.nih.gov/gene/", "")</f>
        <v/>
      </c>
      <c r="D1168" t="str">
        <f>"Snora73a"</f>
        <v>Snora73a</v>
      </c>
      <c r="E1168" t="s">
        <v>3568</v>
      </c>
      <c r="F1168" t="s">
        <v>90</v>
      </c>
      <c r="H1168" s="522">
        <v>8</v>
      </c>
      <c r="I1168" s="230">
        <v>5.4447248137388904</v>
      </c>
      <c r="J1168" s="470">
        <v>5.9524246484339303</v>
      </c>
      <c r="K1168" s="379">
        <v>5.8549968915298498</v>
      </c>
      <c r="L1168" s="1957">
        <v>4.9120562045513099</v>
      </c>
      <c r="M1168" s="738">
        <v>5.1485750088592299</v>
      </c>
      <c r="N1168" s="1191">
        <v>4.8467869006016704</v>
      </c>
      <c r="O1168" s="1738">
        <v>6.0272693049753796</v>
      </c>
      <c r="P1168" s="926">
        <v>5.7894080656727702</v>
      </c>
      <c r="Q1168" s="2385">
        <v>5.8175009793805401</v>
      </c>
      <c r="R1168" s="1321">
        <v>4.6701962998063102</v>
      </c>
      <c r="S1168" s="1646">
        <v>4.6548877495410101</v>
      </c>
      <c r="T1168" s="1750">
        <v>4.7372885628783097</v>
      </c>
    </row>
    <row r="1169" spans="1:20">
      <c r="A1169" t="s">
        <v>3569</v>
      </c>
      <c r="B1169" s="6" t="str">
        <f>HYPERLINK("http://www.ncbi.nlm.nih.gov/gene/68859", "68859")</f>
        <v>68859</v>
      </c>
      <c r="C1169" s="6" t="str">
        <f>HYPERLINK("http://www.ncbi.nlm.nih.gov/gene/388588", "388588")</f>
        <v>388588</v>
      </c>
      <c r="D1169" t="str">
        <f>"1190007F08Rik"</f>
        <v>1190007F08Rik</v>
      </c>
      <c r="E1169" t="s">
        <v>3570</v>
      </c>
      <c r="F1169" t="s">
        <v>3378</v>
      </c>
      <c r="H1169" s="522">
        <v>8</v>
      </c>
      <c r="I1169" s="474">
        <v>5.1126749401489198</v>
      </c>
      <c r="J1169" s="451">
        <v>5.3365624778507001</v>
      </c>
      <c r="K1169" s="500">
        <v>5.3416420740580701</v>
      </c>
      <c r="L1169" s="1952">
        <v>4.5622906274396202</v>
      </c>
      <c r="M1169" s="751">
        <v>4.9939768438802501</v>
      </c>
      <c r="N1169" s="849">
        <v>4.8854843585534304</v>
      </c>
      <c r="O1169" s="795">
        <v>5.7363237563695</v>
      </c>
      <c r="P1169" s="970">
        <v>5.4112313874859597</v>
      </c>
      <c r="Q1169" s="1870">
        <v>5.55690633608656</v>
      </c>
      <c r="R1169" s="1160">
        <v>4.2244425071418696</v>
      </c>
      <c r="S1169" s="1591">
        <v>4.3241272401138602</v>
      </c>
      <c r="T1169" s="1766">
        <v>4.0601938481841104</v>
      </c>
    </row>
    <row r="1170" spans="1:20">
      <c r="A1170" t="s">
        <v>3571</v>
      </c>
      <c r="B1170" s="6" t="str">
        <f>HYPERLINK("http://www.ncbi.nlm.nih.gov/gene/14453", "14453")</f>
        <v>14453</v>
      </c>
      <c r="C1170" s="6" t="str">
        <f>HYPERLINK("http://www.ncbi.nlm.nih.gov/gene/2620", "2620")</f>
        <v>2620</v>
      </c>
      <c r="D1170" t="str">
        <f>"Gas2"</f>
        <v>Gas2</v>
      </c>
      <c r="E1170" t="s">
        <v>3572</v>
      </c>
      <c r="F1170" t="s">
        <v>3589</v>
      </c>
      <c r="H1170" s="522">
        <v>8</v>
      </c>
      <c r="I1170" s="197">
        <v>6.1484008800471202</v>
      </c>
      <c r="J1170" s="320">
        <v>6.3084707260731498</v>
      </c>
      <c r="K1170" s="375">
        <v>6.5542301243052998</v>
      </c>
      <c r="L1170" s="1835">
        <v>5.8310474969860504</v>
      </c>
      <c r="M1170" s="680">
        <v>5.9083193960318399</v>
      </c>
      <c r="N1170" s="683">
        <v>5.9320631375146</v>
      </c>
      <c r="O1170" s="1483">
        <v>6.6621610992464202</v>
      </c>
      <c r="P1170" s="938">
        <v>6.5422910144059303</v>
      </c>
      <c r="Q1170" s="1941">
        <v>6.90746856046679</v>
      </c>
      <c r="R1170" s="1017">
        <v>5.5044931547509002</v>
      </c>
      <c r="S1170" s="1767">
        <v>5.4806929606695496</v>
      </c>
      <c r="T1170" s="1768">
        <v>5.3876638267510204</v>
      </c>
    </row>
    <row r="1171" spans="1:20">
      <c r="A1171" t="s">
        <v>3590</v>
      </c>
      <c r="B1171" s="6" t="str">
        <f>HYPERLINK("http://www.ncbi.nlm.nih.gov/gene/100303646", "100303646")</f>
        <v>100303646</v>
      </c>
      <c r="C1171" s="6" t="str">
        <f>HYPERLINK("http://www.ncbi.nlm.nih.gov/gene/", "")</f>
        <v/>
      </c>
      <c r="D1171" t="str">
        <f>"AF357355"</f>
        <v>AF357355</v>
      </c>
      <c r="E1171" t="s">
        <v>3591</v>
      </c>
      <c r="H1171" s="522">
        <v>8</v>
      </c>
      <c r="I1171" s="281">
        <v>8.4285997786641893</v>
      </c>
      <c r="J1171" s="376">
        <v>8.4916006537371906</v>
      </c>
      <c r="K1171" s="396">
        <v>8.53060107050214</v>
      </c>
      <c r="L1171" s="1935">
        <v>8.0742344195566496</v>
      </c>
      <c r="M1171" s="609">
        <v>8.05789892698618</v>
      </c>
      <c r="N1171" s="1179">
        <v>7.8731940027456897</v>
      </c>
      <c r="O1171" s="1481">
        <v>8.9103741208955594</v>
      </c>
      <c r="P1171" s="1220">
        <v>8.7455639062118404</v>
      </c>
      <c r="Q1171" s="2653">
        <v>8.8651411212070297</v>
      </c>
      <c r="R1171" s="567">
        <v>7.8519400150071696</v>
      </c>
      <c r="S1171" s="1323">
        <v>7.7375944075323702</v>
      </c>
      <c r="T1171" s="1769">
        <v>7.5362962866130303</v>
      </c>
    </row>
    <row r="1172" spans="1:20">
      <c r="A1172" t="s">
        <v>3576</v>
      </c>
      <c r="B1172" s="6" t="str">
        <f>HYPERLINK("http://www.ncbi.nlm.nih.gov/gene/67790", "67790")</f>
        <v>67790</v>
      </c>
      <c r="C1172" s="6" t="str">
        <f>HYPERLINK("http://www.ncbi.nlm.nih.gov/gene/116442", "116442")</f>
        <v>116442</v>
      </c>
      <c r="D1172" t="str">
        <f>"Rab39b"</f>
        <v>Rab39b</v>
      </c>
      <c r="E1172" t="s">
        <v>3577</v>
      </c>
      <c r="F1172" t="s">
        <v>3592</v>
      </c>
      <c r="H1172" s="522">
        <v>8</v>
      </c>
      <c r="I1172" s="451">
        <v>4.5903621965050396</v>
      </c>
      <c r="J1172" s="319">
        <v>4.3839127973609502</v>
      </c>
      <c r="K1172" s="420">
        <v>4.6967047743189996</v>
      </c>
      <c r="L1172" s="1921">
        <v>4.2191235890277303</v>
      </c>
      <c r="M1172" s="1179">
        <v>3.8383750929935698</v>
      </c>
      <c r="N1172" s="853">
        <v>4.1499685111014504</v>
      </c>
      <c r="O1172" s="624">
        <v>4.9362160443231202</v>
      </c>
      <c r="P1172" s="818">
        <v>4.7493786917682401</v>
      </c>
      <c r="Q1172" s="2005">
        <v>4.7134670453962899</v>
      </c>
      <c r="R1172" s="1433">
        <v>3.4343935869428899</v>
      </c>
      <c r="S1172" s="722">
        <v>3.6998096701904899</v>
      </c>
      <c r="T1172" s="1756">
        <v>3.6567906390839799</v>
      </c>
    </row>
    <row r="1173" spans="1:20">
      <c r="A1173" t="s">
        <v>3593</v>
      </c>
      <c r="B1173" s="6" t="str">
        <f>HYPERLINK("http://www.ncbi.nlm.nih.gov/gene/723940", "723940")</f>
        <v>723940</v>
      </c>
      <c r="C1173" s="6" t="str">
        <f>HYPERLINK("http://www.ncbi.nlm.nih.gov/gene/", "")</f>
        <v/>
      </c>
      <c r="D1173" t="str">
        <f>"Mir487b"</f>
        <v>Mir487b</v>
      </c>
      <c r="E1173" t="s">
        <v>3594</v>
      </c>
      <c r="H1173" s="522">
        <v>8</v>
      </c>
      <c r="I1173" s="418">
        <v>4.8083168801979301</v>
      </c>
      <c r="J1173" s="336">
        <v>4.7609283561927302</v>
      </c>
      <c r="K1173" s="374">
        <v>4.8808371296798896</v>
      </c>
      <c r="L1173" s="2175">
        <v>4.0567362985731998</v>
      </c>
      <c r="M1173" s="599">
        <v>4.1178647525847198</v>
      </c>
      <c r="N1173" s="629">
        <v>4.2093447124181402</v>
      </c>
      <c r="O1173" s="1505">
        <v>4.8666329464827598</v>
      </c>
      <c r="P1173" s="1145">
        <v>5.1173142262088698</v>
      </c>
      <c r="Q1173" s="2348">
        <v>4.9024110864583204</v>
      </c>
      <c r="R1173" s="1178">
        <v>3.4224165222236902</v>
      </c>
      <c r="S1173" s="1179">
        <v>3.8974291350321102</v>
      </c>
      <c r="T1173" s="1770">
        <v>3.5199645436238498</v>
      </c>
    </row>
    <row r="1174" spans="1:20">
      <c r="A1174" t="s">
        <v>3595</v>
      </c>
      <c r="B1174" s="6" t="str">
        <f>HYPERLINK("http://www.ncbi.nlm.nih.gov/gene/12162", "12162")</f>
        <v>12162</v>
      </c>
      <c r="C1174" s="6" t="str">
        <f>HYPERLINK("http://www.ncbi.nlm.nih.gov/gene/655", "655")</f>
        <v>655</v>
      </c>
      <c r="D1174" t="str">
        <f>"Bmp7"</f>
        <v>Bmp7</v>
      </c>
      <c r="E1174" t="s">
        <v>3596</v>
      </c>
      <c r="F1174" t="s">
        <v>3603</v>
      </c>
      <c r="G1174" t="s">
        <v>3604</v>
      </c>
      <c r="H1174" s="522">
        <v>8</v>
      </c>
      <c r="I1174" s="363">
        <v>7.5020275990815399</v>
      </c>
      <c r="J1174" s="359">
        <v>7.3167489148137799</v>
      </c>
      <c r="K1174" s="357">
        <v>7.4896515347933104</v>
      </c>
      <c r="L1174" s="1850">
        <v>5.8551412905137603</v>
      </c>
      <c r="M1174" s="561">
        <v>5.6980116992529304</v>
      </c>
      <c r="N1174" s="554">
        <v>5.9095518182509803</v>
      </c>
      <c r="O1174" s="980">
        <v>7.2870777148801897</v>
      </c>
      <c r="P1174" s="1082">
        <v>7.6552677744876201</v>
      </c>
      <c r="Q1174" s="1841">
        <v>7.5956350834480997</v>
      </c>
      <c r="R1174" s="1017">
        <v>5.2359301005515499</v>
      </c>
      <c r="S1174" s="1412">
        <v>5.3345200374145598</v>
      </c>
      <c r="T1174" s="1758">
        <v>4.9789090873537702</v>
      </c>
    </row>
    <row r="1175" spans="1:20">
      <c r="A1175" t="s">
        <v>3605</v>
      </c>
      <c r="B1175" s="6" t="str">
        <f>HYPERLINK("http://www.ncbi.nlm.nih.gov/gene/73230", "73230")</f>
        <v>73230</v>
      </c>
      <c r="C1175" s="6" t="str">
        <f>HYPERLINK("http://www.ncbi.nlm.nih.gov/gene/168667", "168667")</f>
        <v>168667</v>
      </c>
      <c r="D1175" t="str">
        <f>"Bmper"</f>
        <v>Bmper</v>
      </c>
      <c r="E1175" t="s">
        <v>3606</v>
      </c>
      <c r="F1175" t="s">
        <v>3607</v>
      </c>
      <c r="H1175" s="522">
        <v>8</v>
      </c>
      <c r="I1175" s="367">
        <v>7.0633685475627299</v>
      </c>
      <c r="J1175" s="395">
        <v>6.8962048859204899</v>
      </c>
      <c r="K1175" s="296">
        <v>7.1291707459074098</v>
      </c>
      <c r="L1175" s="2140">
        <v>5.8748200315257098</v>
      </c>
      <c r="M1175" s="544">
        <v>5.8639342810735302</v>
      </c>
      <c r="N1175" s="699">
        <v>6.0889151382055404</v>
      </c>
      <c r="O1175" s="1519">
        <v>7.0019521038178398</v>
      </c>
      <c r="P1175" s="952">
        <v>6.7479955200720898</v>
      </c>
      <c r="Q1175" s="1836">
        <v>6.8005288450355499</v>
      </c>
      <c r="R1175" s="1447">
        <v>5.4776470551052503</v>
      </c>
      <c r="S1175" s="987">
        <v>5.6258069951126997</v>
      </c>
      <c r="T1175" s="1734">
        <v>5.3041824687218604</v>
      </c>
    </row>
    <row r="1176" spans="1:20">
      <c r="A1176" t="s">
        <v>3608</v>
      </c>
      <c r="B1176" s="6" t="str">
        <f>HYPERLINK("http://www.ncbi.nlm.nih.gov/gene/19378", "19378")</f>
        <v>19378</v>
      </c>
      <c r="C1176" s="6" t="str">
        <f>HYPERLINK("http://www.ncbi.nlm.nih.gov/gene/8854", "8854")</f>
        <v>8854</v>
      </c>
      <c r="D1176" t="str">
        <f>"Aldh1a2"</f>
        <v>Aldh1a2</v>
      </c>
      <c r="E1176" t="s">
        <v>3609</v>
      </c>
      <c r="F1176" t="s">
        <v>3610</v>
      </c>
      <c r="G1176" t="s">
        <v>980</v>
      </c>
      <c r="H1176" s="522">
        <v>8</v>
      </c>
      <c r="I1176" s="379">
        <v>7.5531996007153896</v>
      </c>
      <c r="J1176" s="398">
        <v>7.52659690984588</v>
      </c>
      <c r="K1176" s="441">
        <v>7.79147804196029</v>
      </c>
      <c r="L1176" s="1950">
        <v>5.0539746340082097</v>
      </c>
      <c r="M1176" s="544">
        <v>5.2057817465337903</v>
      </c>
      <c r="N1176" s="629">
        <v>5.7480743311872597</v>
      </c>
      <c r="O1176" s="1474">
        <v>7.2160919053355297</v>
      </c>
      <c r="P1176" s="881">
        <v>7.4679355296362298</v>
      </c>
      <c r="Q1176" s="1986">
        <v>7.3083407346796196</v>
      </c>
      <c r="R1176" s="1173">
        <v>4.2413857568541697</v>
      </c>
      <c r="S1176" s="1167">
        <v>4.6699278475146899</v>
      </c>
      <c r="T1176" s="1762">
        <v>4.2149369939279699</v>
      </c>
    </row>
    <row r="1177" spans="1:20">
      <c r="A1177" t="s">
        <v>3644</v>
      </c>
      <c r="B1177" s="6" t="str">
        <f>HYPERLINK("http://www.ncbi.nlm.nih.gov/gene/723833", "723833")</f>
        <v>723833</v>
      </c>
      <c r="C1177" s="6" t="str">
        <f>HYPERLINK("http://www.ncbi.nlm.nih.gov/gene/", "")</f>
        <v/>
      </c>
      <c r="D1177" t="str">
        <f>"Mir300"</f>
        <v>Mir300</v>
      </c>
      <c r="E1177" t="s">
        <v>3645</v>
      </c>
      <c r="H1177" s="522">
        <v>8</v>
      </c>
      <c r="I1177" s="447">
        <v>5.8778101673415</v>
      </c>
      <c r="J1177" s="504">
        <v>5.7417599648288498</v>
      </c>
      <c r="K1177" s="67">
        <v>6.0689361488740898</v>
      </c>
      <c r="L1177" s="2100">
        <v>4.4928529961102202</v>
      </c>
      <c r="M1177" s="1037">
        <v>4.7056068568881999</v>
      </c>
      <c r="N1177" s="854">
        <v>5.1670944666842704</v>
      </c>
      <c r="O1177" s="1427">
        <v>5.9793389903446297</v>
      </c>
      <c r="P1177" s="842">
        <v>5.7600368308229397</v>
      </c>
      <c r="Q1177" s="2651">
        <v>6.1928931935315097</v>
      </c>
      <c r="R1177" s="1730">
        <v>3.9769154342429398</v>
      </c>
      <c r="S1177" s="1332">
        <v>4.5561798123257304</v>
      </c>
      <c r="T1177" s="1328">
        <v>4.64229526861482</v>
      </c>
    </row>
    <row r="1178" spans="1:20">
      <c r="A1178" t="s">
        <v>3646</v>
      </c>
      <c r="B1178" s="6" t="str">
        <f>HYPERLINK("http://www.ncbi.nlm.nih.gov/gene/50706", "50706")</f>
        <v>50706</v>
      </c>
      <c r="C1178" s="6" t="str">
        <f>HYPERLINK("http://www.ncbi.nlm.nih.gov/gene/10631", "10631")</f>
        <v>10631</v>
      </c>
      <c r="D1178" t="str">
        <f>"Postn"</f>
        <v>Postn</v>
      </c>
      <c r="E1178" t="s">
        <v>3647</v>
      </c>
      <c r="F1178" t="s">
        <v>3611</v>
      </c>
      <c r="H1178" s="522">
        <v>8</v>
      </c>
      <c r="I1178" s="453">
        <v>7.9753044597275302</v>
      </c>
      <c r="J1178" s="356">
        <v>7.9377141741174704</v>
      </c>
      <c r="K1178" s="417">
        <v>7.9632167863622998</v>
      </c>
      <c r="L1178" s="1952">
        <v>7.0187022371430601</v>
      </c>
      <c r="M1178" s="851">
        <v>7.12195143600976</v>
      </c>
      <c r="N1178" s="622">
        <v>7.0923259360749702</v>
      </c>
      <c r="O1178" s="1744">
        <v>8.2477491025101504</v>
      </c>
      <c r="P1178" s="885">
        <v>8.1537822910554496</v>
      </c>
      <c r="Q1178" s="1902">
        <v>8.4034000428154094</v>
      </c>
      <c r="R1178" s="1710">
        <v>6.3613445582133901</v>
      </c>
      <c r="S1178" s="1040">
        <v>6.9593148719379903</v>
      </c>
      <c r="T1178" s="1369">
        <v>6.7992692086684299</v>
      </c>
    </row>
    <row r="1179" spans="1:20">
      <c r="A1179" t="s">
        <v>3612</v>
      </c>
      <c r="B1179" s="6" t="str">
        <f>HYPERLINK("http://www.ncbi.nlm.nih.gov/gene/68190", "68190")</f>
        <v>68190</v>
      </c>
      <c r="C1179" s="6" t="str">
        <f>HYPERLINK("http://www.ncbi.nlm.nih.gov/gene/", "")</f>
        <v/>
      </c>
      <c r="D1179" t="str">
        <f>"5330426P16Rik"</f>
        <v>5330426P16Rik</v>
      </c>
      <c r="E1179" t="s">
        <v>3613</v>
      </c>
      <c r="F1179" t="s">
        <v>90</v>
      </c>
      <c r="H1179" s="522">
        <v>8</v>
      </c>
      <c r="I1179" s="261">
        <v>6.2287517243027501</v>
      </c>
      <c r="J1179" s="395">
        <v>6.1223346988428</v>
      </c>
      <c r="K1179" s="29">
        <v>6.2415227348313298</v>
      </c>
      <c r="L1179" s="1860">
        <v>4.8971714330869398</v>
      </c>
      <c r="M1179" s="658">
        <v>5.5081987616705597</v>
      </c>
      <c r="N1179" s="851">
        <v>5.2121902415158798</v>
      </c>
      <c r="O1179" s="741">
        <v>6.2275904437365002</v>
      </c>
      <c r="P1179" s="961">
        <v>5.9601128483611898</v>
      </c>
      <c r="Q1179" s="2010">
        <v>6.14099187200509</v>
      </c>
      <c r="R1179" s="1767">
        <v>4.7840690464363798</v>
      </c>
      <c r="S1179" s="727">
        <v>4.7326959315545603</v>
      </c>
      <c r="T1179" s="1771">
        <v>4.8192470313024103</v>
      </c>
    </row>
    <row r="1180" spans="1:20">
      <c r="A1180" t="s">
        <v>3614</v>
      </c>
      <c r="B1180" s="6" t="str">
        <f>HYPERLINK("http://www.ncbi.nlm.nih.gov/gene/100861572", "100861572")</f>
        <v>100861572</v>
      </c>
      <c r="C1180" s="6" t="str">
        <f>HYPERLINK("http://www.ncbi.nlm.nih.gov/gene/", "")</f>
        <v/>
      </c>
      <c r="D1180" t="str">
        <f>"LOC100861572"</f>
        <v>LOC100861572</v>
      </c>
      <c r="E1180" t="s">
        <v>3615</v>
      </c>
      <c r="H1180" s="522">
        <v>8</v>
      </c>
      <c r="I1180" s="340">
        <v>7.7198353526016801</v>
      </c>
      <c r="J1180" s="395">
        <v>7.79858380608903</v>
      </c>
      <c r="K1180" s="29">
        <v>7.9278260645294498</v>
      </c>
      <c r="L1180" s="2051">
        <v>6.8175189074970097</v>
      </c>
      <c r="M1180" s="892">
        <v>6.9894186506527598</v>
      </c>
      <c r="N1180" s="835">
        <v>7.2398696796931601</v>
      </c>
      <c r="O1180" s="1467">
        <v>7.7457770380420401</v>
      </c>
      <c r="P1180" s="947">
        <v>7.8860351871141301</v>
      </c>
      <c r="Q1180" s="2296">
        <v>7.8083011155005604</v>
      </c>
      <c r="R1180" s="1317">
        <v>6.3378901184435597</v>
      </c>
      <c r="S1180" s="1671">
        <v>6.2569978911892097</v>
      </c>
      <c r="T1180" s="1772">
        <v>6.36460268009247</v>
      </c>
    </row>
    <row r="1181" spans="1:20">
      <c r="A1181" t="s">
        <v>3616</v>
      </c>
      <c r="B1181" s="6" t="str">
        <f>HYPERLINK("http://www.ncbi.nlm.nih.gov/gene/71934", "71934")</f>
        <v>71934</v>
      </c>
      <c r="C1181" s="6" t="str">
        <f>HYPERLINK("http://www.ncbi.nlm.nih.gov/gene/377677", "377677")</f>
        <v>377677</v>
      </c>
      <c r="D1181" t="str">
        <f>"Car13"</f>
        <v>Car13</v>
      </c>
      <c r="E1181" t="s">
        <v>3617</v>
      </c>
      <c r="F1181" t="s">
        <v>3618</v>
      </c>
      <c r="G1181" t="s">
        <v>3619</v>
      </c>
      <c r="H1181" s="522">
        <v>8</v>
      </c>
      <c r="I1181" s="359">
        <v>5.4577513083196303</v>
      </c>
      <c r="J1181" s="395">
        <v>5.4935232027338197</v>
      </c>
      <c r="K1181" s="274">
        <v>5.7967588606139104</v>
      </c>
      <c r="L1181" s="1865">
        <v>4.5466527166164701</v>
      </c>
      <c r="M1181" s="1207">
        <v>4.9548439632122596</v>
      </c>
      <c r="N1181" s="835">
        <v>4.9775843127497801</v>
      </c>
      <c r="O1181" s="1410">
        <v>5.5196720582616701</v>
      </c>
      <c r="P1181" s="862">
        <v>5.3714622813891699</v>
      </c>
      <c r="Q1181" s="1978">
        <v>5.2630247647657402</v>
      </c>
      <c r="R1181" s="863">
        <v>4.2346320922867298</v>
      </c>
      <c r="S1181" s="1285">
        <v>4.0416352722275599</v>
      </c>
      <c r="T1181" s="1773">
        <v>4.0353419115984499</v>
      </c>
    </row>
    <row r="1182" spans="1:20">
      <c r="A1182" t="s">
        <v>3620</v>
      </c>
      <c r="B1182" s="6" t="str">
        <f>HYPERLINK("http://www.ncbi.nlm.nih.gov/gene/97440", "97440")</f>
        <v>97440</v>
      </c>
      <c r="C1182" s="6" t="str">
        <f>HYPERLINK("http://www.ncbi.nlm.nih.gov/gene/84752", "84752")</f>
        <v>84752</v>
      </c>
      <c r="D1182" t="str">
        <f>"B3gnt9-ps"</f>
        <v>B3gnt9-ps</v>
      </c>
      <c r="E1182" t="s">
        <v>3621</v>
      </c>
      <c r="H1182" s="522">
        <v>8</v>
      </c>
      <c r="I1182" s="406">
        <v>6.6530275430155603</v>
      </c>
      <c r="J1182" s="145">
        <v>7.0105182188886497</v>
      </c>
      <c r="K1182" s="153">
        <v>6.9301846179147599</v>
      </c>
      <c r="L1182" s="1838">
        <v>5.8027290213905296</v>
      </c>
      <c r="M1182" s="670">
        <v>5.7736042125446003</v>
      </c>
      <c r="N1182" s="604">
        <v>5.64905047629781</v>
      </c>
      <c r="O1182" s="1774">
        <v>6.6496764936085597</v>
      </c>
      <c r="P1182" s="842">
        <v>6.5771660558564902</v>
      </c>
      <c r="Q1182" s="2339">
        <v>6.6654064118499701</v>
      </c>
      <c r="R1182" s="1775">
        <v>4.4610457834266404</v>
      </c>
      <c r="S1182" s="1134">
        <v>4.9807856562351001</v>
      </c>
      <c r="T1182" s="1776">
        <v>5.0439970228320901</v>
      </c>
    </row>
    <row r="1183" spans="1:20">
      <c r="A1183" t="s">
        <v>3622</v>
      </c>
      <c r="B1183" s="6" t="str">
        <f>HYPERLINK("http://www.ncbi.nlm.nih.gov/gene/170460", "170460")</f>
        <v>170460</v>
      </c>
      <c r="C1183" s="6" t="str">
        <f>HYPERLINK("http://www.ncbi.nlm.nih.gov/gene/80765", "80765")</f>
        <v>80765</v>
      </c>
      <c r="D1183" t="str">
        <f>"Stard5"</f>
        <v>Stard5</v>
      </c>
      <c r="E1183" t="s">
        <v>3623</v>
      </c>
      <c r="F1183" t="s">
        <v>3624</v>
      </c>
      <c r="H1183" s="522">
        <v>8</v>
      </c>
      <c r="I1183" s="347">
        <v>7.3430643479634696</v>
      </c>
      <c r="J1183" s="359">
        <v>7.2803250633557299</v>
      </c>
      <c r="K1183" s="78">
        <v>7.5017220037577497</v>
      </c>
      <c r="L1183" s="2163">
        <v>6.7701621119078199</v>
      </c>
      <c r="M1183" s="645">
        <v>6.9406861239241504</v>
      </c>
      <c r="N1183" s="554">
        <v>6.5959852498712603</v>
      </c>
      <c r="O1183" s="1777">
        <v>7.2051859168608701</v>
      </c>
      <c r="P1183" s="923">
        <v>7.3137617256084102</v>
      </c>
      <c r="Q1183" s="2627">
        <v>7.1704949694675699</v>
      </c>
      <c r="R1183" s="1778">
        <v>5.9608557688098101</v>
      </c>
      <c r="S1183" s="1286">
        <v>6.1491670761466803</v>
      </c>
      <c r="T1183" s="1779">
        <v>6.2932959517384104</v>
      </c>
    </row>
    <row r="1184" spans="1:20">
      <c r="A1184" t="s">
        <v>3625</v>
      </c>
      <c r="B1184" s="6" t="str">
        <f>HYPERLINK("http://www.ncbi.nlm.nih.gov/gene/70045", "70045")</f>
        <v>70045</v>
      </c>
      <c r="C1184" s="6" t="str">
        <f>HYPERLINK("http://www.ncbi.nlm.nih.gov/gene/", "")</f>
        <v/>
      </c>
      <c r="D1184" t="str">
        <f>"2610528A11Rik"</f>
        <v>2610528A11Rik</v>
      </c>
      <c r="E1184" t="s">
        <v>3626</v>
      </c>
      <c r="F1184" t="s">
        <v>90</v>
      </c>
      <c r="H1184" s="522">
        <v>8</v>
      </c>
      <c r="I1184" s="496">
        <v>8.57094756122404</v>
      </c>
      <c r="J1184" s="261">
        <v>8.4652423696516497</v>
      </c>
      <c r="K1184" s="183">
        <v>8.7505543818442106</v>
      </c>
      <c r="L1184" s="2654">
        <v>5.7687833526357704</v>
      </c>
      <c r="M1184" s="600">
        <v>5.8358127712084604</v>
      </c>
      <c r="N1184" s="537">
        <v>5.3157432962459197</v>
      </c>
      <c r="O1184" s="1534">
        <v>8.0023057634134709</v>
      </c>
      <c r="P1184" s="527">
        <v>7.8726070458554602</v>
      </c>
      <c r="Q1184" s="2398">
        <v>7.8350856486132798</v>
      </c>
      <c r="R1184" s="1317">
        <v>4.0584694983212097</v>
      </c>
      <c r="S1184" s="1563">
        <v>4.1038886278091402</v>
      </c>
      <c r="T1184" s="1764">
        <v>4.3464490702598804</v>
      </c>
    </row>
    <row r="1185" spans="1:20">
      <c r="A1185" t="s">
        <v>3627</v>
      </c>
      <c r="B1185" s="6" t="str">
        <f>HYPERLINK("http://www.ncbi.nlm.nih.gov/gene/56741", "56741")</f>
        <v>56741</v>
      </c>
      <c r="C1185" s="6" t="str">
        <f>HYPERLINK("http://www.ncbi.nlm.nih.gov/gene/57722", "57722")</f>
        <v>57722</v>
      </c>
      <c r="D1185" t="str">
        <f>"Igdcc4"</f>
        <v>Igdcc4</v>
      </c>
      <c r="E1185" t="s">
        <v>3628</v>
      </c>
      <c r="F1185" t="s">
        <v>3629</v>
      </c>
      <c r="H1185" s="522">
        <v>8</v>
      </c>
      <c r="I1185" s="478">
        <v>6.8595876089775896</v>
      </c>
      <c r="J1185" s="375">
        <v>6.6822420696052802</v>
      </c>
      <c r="K1185" s="357">
        <v>6.70194611968597</v>
      </c>
      <c r="L1185" s="2571">
        <v>6.0161341994216704</v>
      </c>
      <c r="M1185" s="687">
        <v>5.9904814414162102</v>
      </c>
      <c r="N1185" s="864">
        <v>5.7175011646867002</v>
      </c>
      <c r="O1185" s="1535">
        <v>6.57354936662911</v>
      </c>
      <c r="P1185" s="974">
        <v>6.5478558052660203</v>
      </c>
      <c r="Q1185" s="2348">
        <v>6.6779771868299296</v>
      </c>
      <c r="R1185" s="1565">
        <v>5.3821687066367803</v>
      </c>
      <c r="S1185" s="1143">
        <v>5.4140751195766299</v>
      </c>
      <c r="T1185" s="1780">
        <v>5.43251388380334</v>
      </c>
    </row>
    <row r="1186" spans="1:20">
      <c r="A1186" t="s">
        <v>3630</v>
      </c>
      <c r="B1186" s="6" t="str">
        <f>HYPERLINK("http://www.ncbi.nlm.nih.gov/gene/170676", "170676")</f>
        <v>170676</v>
      </c>
      <c r="C1186" s="6" t="str">
        <f>HYPERLINK("http://www.ncbi.nlm.nih.gov/gene/23089", "23089")</f>
        <v>23089</v>
      </c>
      <c r="D1186" t="str">
        <f>"Peg10"</f>
        <v>Peg10</v>
      </c>
      <c r="E1186" t="s">
        <v>3631</v>
      </c>
      <c r="F1186" t="s">
        <v>3632</v>
      </c>
      <c r="H1186" s="522">
        <v>8</v>
      </c>
      <c r="I1186" s="171">
        <v>9.0604509219681102</v>
      </c>
      <c r="J1186" s="229">
        <v>8.93460812379878</v>
      </c>
      <c r="K1186" s="454">
        <v>9.0079466840836595</v>
      </c>
      <c r="L1186" s="1876">
        <v>7.72396845446921</v>
      </c>
      <c r="M1186" s="687">
        <v>7.7270048863165002</v>
      </c>
      <c r="N1186" s="669">
        <v>7.5943812107528901</v>
      </c>
      <c r="O1186" s="1781">
        <v>8.8378741764504998</v>
      </c>
      <c r="P1186" s="890">
        <v>8.8500671392577495</v>
      </c>
      <c r="Q1186" s="2655">
        <v>8.6232734241089393</v>
      </c>
      <c r="R1186" s="1447">
        <v>6.8134986981564296</v>
      </c>
      <c r="S1186" s="1729">
        <v>6.4972434515867503</v>
      </c>
      <c r="T1186" s="1782">
        <v>6.6674271734280897</v>
      </c>
    </row>
    <row r="1187" spans="1:20">
      <c r="A1187" t="s">
        <v>3633</v>
      </c>
      <c r="B1187" s="6" t="str">
        <f>HYPERLINK("http://www.ncbi.nlm.nih.gov/gene/11906", "11906")</f>
        <v>11906</v>
      </c>
      <c r="C1187" s="6" t="str">
        <f>HYPERLINK("http://www.ncbi.nlm.nih.gov/gene/463", "463")</f>
        <v>463</v>
      </c>
      <c r="D1187" t="str">
        <f>"Zfhx3"</f>
        <v>Zfhx3</v>
      </c>
      <c r="E1187" t="s">
        <v>3634</v>
      </c>
      <c r="F1187" t="s">
        <v>3638</v>
      </c>
      <c r="H1187" s="522">
        <v>8</v>
      </c>
      <c r="I1187" s="287">
        <v>6.8387827472800398</v>
      </c>
      <c r="J1187" s="76">
        <v>6.7004711616211399</v>
      </c>
      <c r="K1187" s="38">
        <v>6.6382435732357097</v>
      </c>
      <c r="L1187" s="2039">
        <v>6.5787723782368799</v>
      </c>
      <c r="M1187" s="942">
        <v>6.7220204845328304</v>
      </c>
      <c r="N1187" s="939">
        <v>6.7961950257117696</v>
      </c>
      <c r="O1187" s="983">
        <v>6.9270251839100201</v>
      </c>
      <c r="P1187" s="559">
        <v>7.1960951646757403</v>
      </c>
      <c r="Q1187" s="1866">
        <v>7.3919803321907303</v>
      </c>
      <c r="R1187" s="864">
        <v>6.34953663478223</v>
      </c>
      <c r="S1187" s="1682">
        <v>6.0646763861456803</v>
      </c>
      <c r="T1187" s="1783">
        <v>5.9432817646976996</v>
      </c>
    </row>
    <row r="1188" spans="1:20">
      <c r="A1188" t="s">
        <v>3639</v>
      </c>
      <c r="B1188" s="6" t="str">
        <f>HYPERLINK("http://www.ncbi.nlm.nih.gov/gene/13175", "13175")</f>
        <v>13175</v>
      </c>
      <c r="C1188" s="6" t="str">
        <f>HYPERLINK("http://www.ncbi.nlm.nih.gov/gene/9201", "9201")</f>
        <v>9201</v>
      </c>
      <c r="D1188" t="str">
        <f>"Dclk1"</f>
        <v>Dclk1</v>
      </c>
      <c r="E1188" t="s">
        <v>3640</v>
      </c>
      <c r="F1188" t="s">
        <v>3641</v>
      </c>
      <c r="H1188" s="522">
        <v>8</v>
      </c>
      <c r="I1188" s="388">
        <v>6.4612019698608698</v>
      </c>
      <c r="J1188" s="42">
        <v>6.1083043954576102</v>
      </c>
      <c r="K1188" s="365">
        <v>6.2739376590817102</v>
      </c>
      <c r="L1188" s="1850">
        <v>5.9559840134029596</v>
      </c>
      <c r="M1188" s="683">
        <v>6.0682607228391001</v>
      </c>
      <c r="N1188" s="694">
        <v>6.1002404881332302</v>
      </c>
      <c r="O1188" s="1503">
        <v>6.7258778032993201</v>
      </c>
      <c r="P1188" s="745">
        <v>6.8116020524134804</v>
      </c>
      <c r="Q1188" s="2653">
        <v>6.7514695898311201</v>
      </c>
      <c r="R1188" s="1784">
        <v>5.4259860496365899</v>
      </c>
      <c r="S1188" s="662">
        <v>5.9609608869454203</v>
      </c>
      <c r="T1188" s="1311">
        <v>5.8349941386402104</v>
      </c>
    </row>
    <row r="1189" spans="1:20">
      <c r="A1189" t="s">
        <v>3642</v>
      </c>
      <c r="B1189" s="6" t="str">
        <f>HYPERLINK("http://www.ncbi.nlm.nih.gov/gene/17132", "17132")</f>
        <v>17132</v>
      </c>
      <c r="C1189" s="6" t="str">
        <f>HYPERLINK("http://www.ncbi.nlm.nih.gov/gene/4094", "4094")</f>
        <v>4094</v>
      </c>
      <c r="D1189" t="str">
        <f>"Maf"</f>
        <v>Maf</v>
      </c>
      <c r="E1189" t="s">
        <v>3643</v>
      </c>
      <c r="F1189" t="s">
        <v>3653</v>
      </c>
      <c r="H1189" s="522">
        <v>8</v>
      </c>
      <c r="I1189" s="36">
        <v>6.8747609296922896</v>
      </c>
      <c r="J1189" s="204">
        <v>6.9635113094351304</v>
      </c>
      <c r="K1189" s="31">
        <v>7.1689397792174896</v>
      </c>
      <c r="L1189" s="1896">
        <v>6.8958594491613896</v>
      </c>
      <c r="M1189" s="781">
        <v>7.2293987144774299</v>
      </c>
      <c r="N1189" s="916">
        <v>7.3839489495602102</v>
      </c>
      <c r="O1189" s="692">
        <v>8.4132618441406208</v>
      </c>
      <c r="P1189" s="1132">
        <v>8.2305072419735907</v>
      </c>
      <c r="Q1189" s="2656">
        <v>8.4468129236877907</v>
      </c>
      <c r="R1189" s="863">
        <v>6.2901096133871599</v>
      </c>
      <c r="S1189" s="722">
        <v>6.3558478941554304</v>
      </c>
      <c r="T1189" s="1785">
        <v>6.3598427812325697</v>
      </c>
    </row>
    <row r="1190" spans="1:20">
      <c r="A1190" t="s">
        <v>3654</v>
      </c>
      <c r="B1190" s="6" t="str">
        <f>HYPERLINK("http://www.ncbi.nlm.nih.gov/gene/29863", "29863")</f>
        <v>29863</v>
      </c>
      <c r="C1190" s="6" t="str">
        <f>HYPERLINK("http://www.ncbi.nlm.nih.gov/gene/27115", "27115")</f>
        <v>27115</v>
      </c>
      <c r="D1190" t="str">
        <f>"Pde7b"</f>
        <v>Pde7b</v>
      </c>
      <c r="E1190" t="s">
        <v>3655</v>
      </c>
      <c r="F1190" t="s">
        <v>3635</v>
      </c>
      <c r="G1190" t="s">
        <v>495</v>
      </c>
      <c r="H1190" s="522">
        <v>8</v>
      </c>
      <c r="I1190" s="126">
        <v>5.4864533019165398</v>
      </c>
      <c r="J1190" s="98">
        <v>5.3432402062169304</v>
      </c>
      <c r="K1190" s="227">
        <v>5.5970075569139199</v>
      </c>
      <c r="L1190" s="2063">
        <v>5.3502411911474201</v>
      </c>
      <c r="M1190" s="1297">
        <v>5.8151625266601101</v>
      </c>
      <c r="N1190" s="1452">
        <v>5.9858884395287104</v>
      </c>
      <c r="O1190" s="786">
        <v>6.6084396256193196</v>
      </c>
      <c r="P1190" s="1182">
        <v>6.3555515019541398</v>
      </c>
      <c r="Q1190" s="2657">
        <v>6.8443018129649396</v>
      </c>
      <c r="R1190" s="727">
        <v>4.9026420960632597</v>
      </c>
      <c r="S1190" s="1087">
        <v>5.1586045150215902</v>
      </c>
      <c r="T1190" s="1298">
        <v>5.1098779507166903</v>
      </c>
    </row>
    <row r="1191" spans="1:20">
      <c r="A1191" t="s">
        <v>3636</v>
      </c>
      <c r="B1191" s="6" t="str">
        <f>HYPERLINK("http://www.ncbi.nlm.nih.gov/gene/16574", "16574")</f>
        <v>16574</v>
      </c>
      <c r="C1191" s="6" t="str">
        <f>HYPERLINK("http://www.ncbi.nlm.nih.gov/gene/3800", "3800")</f>
        <v>3800</v>
      </c>
      <c r="D1191" t="str">
        <f>"Kif5c"</f>
        <v>Kif5c</v>
      </c>
      <c r="E1191" t="s">
        <v>3637</v>
      </c>
      <c r="F1191" t="s">
        <v>3648</v>
      </c>
      <c r="H1191" s="522">
        <v>8</v>
      </c>
      <c r="I1191" s="52">
        <v>4.6069136998596196</v>
      </c>
      <c r="J1191" s="314">
        <v>4.8416491047273604</v>
      </c>
      <c r="K1191" s="197">
        <v>4.7812204746625904</v>
      </c>
      <c r="L1191" s="1927">
        <v>4.6452661898003296</v>
      </c>
      <c r="M1191" s="700">
        <v>4.6654120348559802</v>
      </c>
      <c r="N1191" s="793">
        <v>4.6695476214682197</v>
      </c>
      <c r="O1191" s="525">
        <v>5.1902121903704002</v>
      </c>
      <c r="P1191" s="577">
        <v>5.4267843663308302</v>
      </c>
      <c r="Q1191" s="1966">
        <v>5.4335176189330801</v>
      </c>
      <c r="R1191" s="1439">
        <v>4.3084993445724402</v>
      </c>
      <c r="S1191" s="1646">
        <v>4.2109892383912504</v>
      </c>
      <c r="T1191" s="1786">
        <v>4.1022737037811501</v>
      </c>
    </row>
    <row r="1192" spans="1:20">
      <c r="A1192" t="s">
        <v>3649</v>
      </c>
      <c r="B1192" s="6" t="str">
        <f>HYPERLINK("http://www.ncbi.nlm.nih.gov/gene/71086", "71086")</f>
        <v>71086</v>
      </c>
      <c r="C1192" s="6" t="str">
        <f>HYPERLINK("http://www.ncbi.nlm.nih.gov/gene/", "")</f>
        <v/>
      </c>
      <c r="D1192" t="str">
        <f>"4933412E12Rik"</f>
        <v>4933412E12Rik</v>
      </c>
      <c r="E1192" t="s">
        <v>3650</v>
      </c>
      <c r="H1192" s="522">
        <v>8</v>
      </c>
      <c r="I1192" s="314">
        <v>4.8835171510834297</v>
      </c>
      <c r="J1192" s="197">
        <v>4.7926846577652897</v>
      </c>
      <c r="K1192" s="474">
        <v>4.91028556178542</v>
      </c>
      <c r="L1192" s="2658">
        <v>4.5991322745013399</v>
      </c>
      <c r="M1192" s="1296">
        <v>4.6943987415175998</v>
      </c>
      <c r="N1192" s="854">
        <v>4.6438826284429497</v>
      </c>
      <c r="O1192" s="760">
        <v>5.6492637321199499</v>
      </c>
      <c r="P1192" s="559">
        <v>5.55307370614607</v>
      </c>
      <c r="Q1192" s="1946">
        <v>5.5818515747776001</v>
      </c>
      <c r="R1192" s="1017">
        <v>3.9516317482028298</v>
      </c>
      <c r="S1192" s="1593">
        <v>3.7331448927554902</v>
      </c>
      <c r="T1192" s="1787">
        <v>3.7777194910235101</v>
      </c>
    </row>
    <row r="1193" spans="1:20">
      <c r="A1193" t="s">
        <v>3651</v>
      </c>
      <c r="B1193" s="6" t="str">
        <f>HYPERLINK("http://www.ncbi.nlm.nih.gov/gene/14451", "14451")</f>
        <v>14451</v>
      </c>
      <c r="C1193" s="6" t="str">
        <f>HYPERLINK("http://www.ncbi.nlm.nih.gov/gene/2619", "2619")</f>
        <v>2619</v>
      </c>
      <c r="D1193" t="str">
        <f>"Gas1"</f>
        <v>Gas1</v>
      </c>
      <c r="E1193" t="s">
        <v>3652</v>
      </c>
      <c r="F1193" t="s">
        <v>3656</v>
      </c>
      <c r="G1193" t="s">
        <v>3657</v>
      </c>
      <c r="H1193" s="522">
        <v>8</v>
      </c>
      <c r="I1193" s="249">
        <v>7.8186180243853904</v>
      </c>
      <c r="J1193" s="465">
        <v>7.7560570239400803</v>
      </c>
      <c r="K1193" s="324">
        <v>7.9785949448924196</v>
      </c>
      <c r="L1193" s="2159">
        <v>7.6207526907754</v>
      </c>
      <c r="M1193" s="906">
        <v>7.5192759963125599</v>
      </c>
      <c r="N1193" s="672">
        <v>7.6533345405844697</v>
      </c>
      <c r="O1193" s="1476">
        <v>8.5594212796875802</v>
      </c>
      <c r="P1193" s="755">
        <v>8.6084756704574392</v>
      </c>
      <c r="Q1193" s="2653">
        <v>8.5875698920096006</v>
      </c>
      <c r="R1193" s="1759">
        <v>6.6460977994718702</v>
      </c>
      <c r="S1193" s="1286">
        <v>6.7594219205403903</v>
      </c>
      <c r="T1193" s="1788">
        <v>6.96762387829106</v>
      </c>
    </row>
    <row r="1194" spans="1:20">
      <c r="A1194" t="s">
        <v>3658</v>
      </c>
      <c r="B1194" s="6" t="str">
        <f>HYPERLINK("http://www.ncbi.nlm.nih.gov/gene/14696", "14696")</f>
        <v>14696</v>
      </c>
      <c r="C1194" s="6" t="str">
        <f>HYPERLINK("http://www.ncbi.nlm.nih.gov/gene/59345", "59345")</f>
        <v>59345</v>
      </c>
      <c r="D1194" t="str">
        <f>"Gnb4"</f>
        <v>Gnb4</v>
      </c>
      <c r="E1194" t="s">
        <v>3659</v>
      </c>
      <c r="F1194" t="s">
        <v>3660</v>
      </c>
      <c r="G1194" t="s">
        <v>1000</v>
      </c>
      <c r="H1194" s="522">
        <v>8</v>
      </c>
      <c r="I1194" s="52">
        <v>6.5500188655883704</v>
      </c>
      <c r="J1194" s="176">
        <v>6.6186524378985299</v>
      </c>
      <c r="K1194" s="341">
        <v>6.7704064883630402</v>
      </c>
      <c r="L1194" s="2236">
        <v>6.5626835036617903</v>
      </c>
      <c r="M1194" s="778">
        <v>6.7218624843365502</v>
      </c>
      <c r="N1194" s="543">
        <v>6.5195303181296698</v>
      </c>
      <c r="O1194" s="552">
        <v>7.2054687736977598</v>
      </c>
      <c r="P1194" s="728">
        <v>7.1942217326668496</v>
      </c>
      <c r="Q1194" s="2633">
        <v>7.35320547409159</v>
      </c>
      <c r="R1194" s="1445">
        <v>6.1029653619313899</v>
      </c>
      <c r="S1194" s="987">
        <v>6.26420852515104</v>
      </c>
      <c r="T1194" s="1789">
        <v>6.2337471028921803</v>
      </c>
    </row>
    <row r="1195" spans="1:20">
      <c r="A1195" t="s">
        <v>3661</v>
      </c>
      <c r="B1195" s="6" t="str">
        <f>HYPERLINK("http://www.ncbi.nlm.nih.gov/gene/68312", "68312")</f>
        <v>68312</v>
      </c>
      <c r="C1195" s="6" t="str">
        <f>HYPERLINK("http://www.ncbi.nlm.nih.gov/gene/2946", "2946")</f>
        <v>2946</v>
      </c>
      <c r="D1195" t="str">
        <f>"Gstm7"</f>
        <v>Gstm7</v>
      </c>
      <c r="E1195" t="s">
        <v>3662</v>
      </c>
      <c r="F1195" t="s">
        <v>3663</v>
      </c>
      <c r="G1195" t="s">
        <v>3664</v>
      </c>
      <c r="H1195" s="522">
        <v>8</v>
      </c>
      <c r="I1195" s="33">
        <v>6.1446367664873804</v>
      </c>
      <c r="J1195" s="147">
        <v>6.1541570326915798</v>
      </c>
      <c r="K1195" s="63">
        <v>6.1923892964042402</v>
      </c>
      <c r="L1195" s="2046">
        <v>6.1208076894951198</v>
      </c>
      <c r="M1195" s="830">
        <v>6.1375483289860604</v>
      </c>
      <c r="N1195" s="662">
        <v>5.8990139811108504</v>
      </c>
      <c r="O1195" s="1503">
        <v>6.6952524233042299</v>
      </c>
      <c r="P1195" s="1164">
        <v>6.7686479031495104</v>
      </c>
      <c r="Q1195" s="1890">
        <v>6.8440013981746199</v>
      </c>
      <c r="R1195" s="1790">
        <v>5.3896808400921401</v>
      </c>
      <c r="S1195" s="1179">
        <v>5.7951097142722103</v>
      </c>
      <c r="T1195" s="1363">
        <v>5.7501565954746399</v>
      </c>
    </row>
    <row r="1196" spans="1:20">
      <c r="A1196" t="s">
        <v>3665</v>
      </c>
      <c r="B1196" s="6" t="str">
        <f>HYPERLINK("http://www.ncbi.nlm.nih.gov/gene/11858", "11858")</f>
        <v>11858</v>
      </c>
      <c r="C1196" s="6" t="str">
        <f>HYPERLINK("http://www.ncbi.nlm.nih.gov/gene/8153", "8153")</f>
        <v>8153</v>
      </c>
      <c r="D1196" t="str">
        <f>"Rnd2"</f>
        <v>Rnd2</v>
      </c>
      <c r="E1196" t="s">
        <v>3666</v>
      </c>
      <c r="F1196" t="s">
        <v>3667</v>
      </c>
      <c r="H1196" s="522">
        <v>8</v>
      </c>
      <c r="I1196" s="302">
        <v>5.6940599188882404</v>
      </c>
      <c r="J1196" s="198">
        <v>5.4055562275630704</v>
      </c>
      <c r="K1196" s="52">
        <v>5.4185650550184601</v>
      </c>
      <c r="L1196" s="2317">
        <v>5.6720673091955103</v>
      </c>
      <c r="M1196" s="931">
        <v>6.0372752301115797</v>
      </c>
      <c r="N1196" s="869">
        <v>5.4615440667182797</v>
      </c>
      <c r="O1196" s="1746">
        <v>6.3819641284819504</v>
      </c>
      <c r="P1196" s="631">
        <v>6.3147284268818398</v>
      </c>
      <c r="Q1196" s="1986">
        <v>6.0180608360420003</v>
      </c>
      <c r="R1196" s="1791">
        <v>4.6905283151062198</v>
      </c>
      <c r="S1196" s="1556">
        <v>4.9060922008570902</v>
      </c>
      <c r="T1196" s="1379">
        <v>5.0496679514208997</v>
      </c>
    </row>
    <row r="1197" spans="1:20">
      <c r="A1197" t="s">
        <v>3668</v>
      </c>
      <c r="B1197" s="6" t="str">
        <f>HYPERLINK("http://www.ncbi.nlm.nih.gov/gene/242202", "242202")</f>
        <v>242202</v>
      </c>
      <c r="C1197" s="6" t="str">
        <f>HYPERLINK("http://www.ncbi.nlm.nih.gov/gene/8654", "8654")</f>
        <v>8654</v>
      </c>
      <c r="D1197" t="str">
        <f>"Pde5a"</f>
        <v>Pde5a</v>
      </c>
      <c r="E1197" t="s">
        <v>3669</v>
      </c>
      <c r="F1197" t="s">
        <v>3670</v>
      </c>
      <c r="G1197" t="s">
        <v>495</v>
      </c>
      <c r="H1197" s="522">
        <v>8</v>
      </c>
      <c r="I1197" s="88">
        <v>7.4711767124688802</v>
      </c>
      <c r="J1197" s="55">
        <v>7.5735146333152601</v>
      </c>
      <c r="K1197" s="160">
        <v>7.5403657511431401</v>
      </c>
      <c r="L1197" s="1963">
        <v>7.9712214320545796</v>
      </c>
      <c r="M1197" s="813">
        <v>8.0051939972234791</v>
      </c>
      <c r="N1197" s="1305">
        <v>8.0672048000589101</v>
      </c>
      <c r="O1197" s="1792">
        <v>8.6399676280016902</v>
      </c>
      <c r="P1197" s="648">
        <v>8.6423537755939996</v>
      </c>
      <c r="Q1197" s="1851">
        <v>8.6168323956456092</v>
      </c>
      <c r="R1197" s="703">
        <v>7.2879800446777896</v>
      </c>
      <c r="S1197" s="1087">
        <v>7.3915662960125204</v>
      </c>
      <c r="T1197" s="1793">
        <v>7.2130659799574399</v>
      </c>
    </row>
    <row r="1198" spans="1:20">
      <c r="A1198" t="s">
        <v>3671</v>
      </c>
      <c r="B1198" s="6" t="str">
        <f>HYPERLINK("http://www.ncbi.nlm.nih.gov/gene/76429", "76429")</f>
        <v>76429</v>
      </c>
      <c r="C1198" s="6" t="str">
        <f>HYPERLINK("http://www.ncbi.nlm.nih.gov/gene/64077", "64077")</f>
        <v>64077</v>
      </c>
      <c r="D1198" t="str">
        <f>"Lhpp"</f>
        <v>Lhpp</v>
      </c>
      <c r="E1198" t="s">
        <v>3672</v>
      </c>
      <c r="F1198" t="s">
        <v>3673</v>
      </c>
      <c r="G1198" t="s">
        <v>3674</v>
      </c>
      <c r="H1198" s="522">
        <v>8</v>
      </c>
      <c r="I1198" s="141">
        <v>6.1498399577514</v>
      </c>
      <c r="J1198" s="74">
        <v>6.2787947904473898</v>
      </c>
      <c r="K1198" s="90">
        <v>6.3375310411107497</v>
      </c>
      <c r="L1198" s="2530">
        <v>6.8045693988919602</v>
      </c>
      <c r="M1198" s="771">
        <v>6.9312129880133897</v>
      </c>
      <c r="N1198" s="913">
        <v>6.55713317338504</v>
      </c>
      <c r="O1198" s="724">
        <v>7.3146641284226002</v>
      </c>
      <c r="P1198" s="756">
        <v>7.3010671294801996</v>
      </c>
      <c r="Q1198" s="2373">
        <v>7.1514637943797101</v>
      </c>
      <c r="R1198" s="727">
        <v>5.7680252757409001</v>
      </c>
      <c r="S1198" s="1308">
        <v>5.9335972572659896</v>
      </c>
      <c r="T1198" s="1794">
        <v>5.7148235707916397</v>
      </c>
    </row>
    <row r="1199" spans="1:20">
      <c r="A1199" t="s">
        <v>3675</v>
      </c>
      <c r="B1199" s="6" t="str">
        <f>HYPERLINK("http://www.ncbi.nlm.nih.gov/gene/118452", "118452")</f>
        <v>118452</v>
      </c>
      <c r="C1199" s="6" t="str">
        <f>HYPERLINK("http://www.ncbi.nlm.nih.gov/gene/79870", "79870")</f>
        <v>79870</v>
      </c>
      <c r="D1199" t="str">
        <f>"Baalc"</f>
        <v>Baalc</v>
      </c>
      <c r="E1199" t="s">
        <v>3676</v>
      </c>
      <c r="F1199" t="s">
        <v>3677</v>
      </c>
      <c r="H1199" s="522">
        <v>8</v>
      </c>
      <c r="I1199" s="90">
        <v>4.0826584838163003</v>
      </c>
      <c r="J1199" s="81">
        <v>3.80050825068147</v>
      </c>
      <c r="K1199" s="89">
        <v>3.82619631206133</v>
      </c>
      <c r="L1199" s="2659">
        <v>4.3781727187689503</v>
      </c>
      <c r="M1199" s="732">
        <v>4.4733031540784696</v>
      </c>
      <c r="N1199" s="781">
        <v>4.3007565771581602</v>
      </c>
      <c r="O1199" s="1795">
        <v>5.5954316680651699</v>
      </c>
      <c r="P1199" s="761">
        <v>5.1790328111086499</v>
      </c>
      <c r="Q1199" s="2660">
        <v>5.0263565657283698</v>
      </c>
      <c r="R1199" s="1441">
        <v>3.3846714715627</v>
      </c>
      <c r="S1199" s="1007">
        <v>3.7727654402320199</v>
      </c>
      <c r="T1199" s="1310">
        <v>3.7246068958612399</v>
      </c>
    </row>
    <row r="1200" spans="1:20">
      <c r="A1200" t="s">
        <v>3691</v>
      </c>
      <c r="B1200" s="6" t="str">
        <f>HYPERLINK("http://www.ncbi.nlm.nih.gov/gene/11722", "11722")</f>
        <v>11722</v>
      </c>
      <c r="C1200" s="6" t="str">
        <f>HYPERLINK("http://www.ncbi.nlm.nih.gov/gene/279", "279")</f>
        <v>279</v>
      </c>
      <c r="D1200" t="str">
        <f>"Amy1"</f>
        <v>Amy1</v>
      </c>
      <c r="E1200" t="s">
        <v>3692</v>
      </c>
      <c r="F1200" t="s">
        <v>3693</v>
      </c>
      <c r="G1200" t="s">
        <v>3694</v>
      </c>
      <c r="H1200" s="523">
        <v>9</v>
      </c>
      <c r="I1200" s="425">
        <v>3.2301111114167398</v>
      </c>
      <c r="J1200" s="164">
        <v>2.16620178703046</v>
      </c>
      <c r="K1200" s="333">
        <v>3.01803993942969</v>
      </c>
      <c r="L1200" s="2463">
        <v>4.0811912516245004</v>
      </c>
      <c r="M1200" s="920">
        <v>3.05715834602614</v>
      </c>
      <c r="N1200" s="526">
        <v>4.40440377243924</v>
      </c>
      <c r="O1200" s="1596">
        <v>2.2484926828287</v>
      </c>
      <c r="P1200" s="889">
        <v>3.08807857654141</v>
      </c>
      <c r="Q1200" s="2170">
        <v>2.7538588839783</v>
      </c>
      <c r="R1200" s="641">
        <v>2.4359231774732502</v>
      </c>
      <c r="S1200" s="1167">
        <v>2.2295414754070002</v>
      </c>
      <c r="T1200" s="1566">
        <v>2.91414871063541</v>
      </c>
    </row>
    <row r="1201" spans="1:20">
      <c r="A1201" t="s">
        <v>3695</v>
      </c>
      <c r="B1201" s="6" t="str">
        <f>HYPERLINK("http://www.ncbi.nlm.nih.gov/gene/68846", "68846")</f>
        <v>68846</v>
      </c>
      <c r="C1201" s="6" t="str">
        <f>HYPERLINK("http://www.ncbi.nlm.nih.gov/gene/727800", "727800")</f>
        <v>727800</v>
      </c>
      <c r="D1201" t="str">
        <f>"Rnf208"</f>
        <v>Rnf208</v>
      </c>
      <c r="E1201" t="s">
        <v>3696</v>
      </c>
      <c r="F1201" t="s">
        <v>3678</v>
      </c>
      <c r="H1201" s="523">
        <v>9</v>
      </c>
      <c r="I1201" s="377">
        <v>4.3840613914102899</v>
      </c>
      <c r="J1201" s="121">
        <v>3.7974909897718199</v>
      </c>
      <c r="K1201" s="170">
        <v>3.9586032859557201</v>
      </c>
      <c r="L1201" s="2410">
        <v>5.0475188769002797</v>
      </c>
      <c r="M1201" s="570">
        <v>5.1553313300764101</v>
      </c>
      <c r="N1201" s="693">
        <v>5.1301427397663799</v>
      </c>
      <c r="O1201" s="1079">
        <v>2.9442767491872899</v>
      </c>
      <c r="P1201" s="636">
        <v>3.5405626515664399</v>
      </c>
      <c r="Q1201" s="2071">
        <v>3.4853206154427299</v>
      </c>
      <c r="R1201" s="1006">
        <v>3.6326434847079998</v>
      </c>
      <c r="S1201" s="1646">
        <v>2.9937521350799501</v>
      </c>
      <c r="T1201" s="1408">
        <v>3.4562306746702101</v>
      </c>
    </row>
    <row r="1202" spans="1:20">
      <c r="A1202" t="s">
        <v>3679</v>
      </c>
      <c r="B1202" s="6" t="str">
        <f>HYPERLINK("http://www.ncbi.nlm.nih.gov/gene/109264", "109264")</f>
        <v>109264</v>
      </c>
      <c r="C1202" s="6" t="str">
        <f>HYPERLINK("http://www.ncbi.nlm.nih.gov/gene/10873", "10873")</f>
        <v>10873</v>
      </c>
      <c r="D1202" t="str">
        <f>"Me3"</f>
        <v>Me3</v>
      </c>
      <c r="E1202" t="s">
        <v>3680</v>
      </c>
      <c r="F1202" t="s">
        <v>3681</v>
      </c>
      <c r="G1202" t="s">
        <v>3682</v>
      </c>
      <c r="H1202" s="523">
        <v>9</v>
      </c>
      <c r="I1202" s="438">
        <v>4.3235721004335002</v>
      </c>
      <c r="J1202" s="73">
        <v>3.30635066181694</v>
      </c>
      <c r="K1202" s="302">
        <v>4.0303090550932801</v>
      </c>
      <c r="L1202" s="2518">
        <v>4.78959387867312</v>
      </c>
      <c r="M1202" s="761">
        <v>4.9725078368101299</v>
      </c>
      <c r="N1202" s="1049">
        <v>5.4732450987177899</v>
      </c>
      <c r="O1202" s="1562">
        <v>2.8276978466613798</v>
      </c>
      <c r="P1202" s="636">
        <v>3.4152359281300102</v>
      </c>
      <c r="Q1202" s="2219">
        <v>3.5829600026809998</v>
      </c>
      <c r="R1202" s="1081">
        <v>3.3174423757923099</v>
      </c>
      <c r="S1202" s="992">
        <v>3.14788118333635</v>
      </c>
      <c r="T1202" s="1328">
        <v>3.1708090880638</v>
      </c>
    </row>
    <row r="1203" spans="1:20">
      <c r="A1203" t="s">
        <v>3683</v>
      </c>
      <c r="B1203" s="6" t="str">
        <f>HYPERLINK("http://www.ncbi.nlm.nih.gov/gene/14089", "14089")</f>
        <v>14089</v>
      </c>
      <c r="C1203" s="6" t="str">
        <f>HYPERLINK("http://www.ncbi.nlm.nih.gov/gene/2191", "2191")</f>
        <v>2191</v>
      </c>
      <c r="D1203" t="str">
        <f>"Fap"</f>
        <v>Fap</v>
      </c>
      <c r="E1203" t="s">
        <v>3684</v>
      </c>
      <c r="F1203" t="s">
        <v>3703</v>
      </c>
      <c r="H1203" s="523">
        <v>9</v>
      </c>
      <c r="I1203" s="28">
        <v>5.0196724358569798</v>
      </c>
      <c r="J1203" s="198">
        <v>5.1445459306267498</v>
      </c>
      <c r="K1203" s="302">
        <v>5.5728423848804898</v>
      </c>
      <c r="L1203" s="2467">
        <v>6.7926777505501503</v>
      </c>
      <c r="M1203" s="576">
        <v>6.7082633493130004</v>
      </c>
      <c r="N1203" s="1164">
        <v>6.5473251399544097</v>
      </c>
      <c r="O1203" s="1393">
        <v>4.8544394130289898</v>
      </c>
      <c r="P1203" s="549">
        <v>5.0272226001946496</v>
      </c>
      <c r="Q1203" s="2093">
        <v>4.8320897068528001</v>
      </c>
      <c r="R1203" s="1585">
        <v>4.4734244185465997</v>
      </c>
      <c r="S1203" s="670">
        <v>5.1828003848147999</v>
      </c>
      <c r="T1203" s="1282">
        <v>4.8115148489346504</v>
      </c>
    </row>
    <row r="1204" spans="1:20">
      <c r="A1204" t="s">
        <v>3704</v>
      </c>
      <c r="B1204" s="6" t="str">
        <f>HYPERLINK("http://www.ncbi.nlm.nih.gov/gene/12160", "12160")</f>
        <v>12160</v>
      </c>
      <c r="C1204" s="6" t="str">
        <f>HYPERLINK("http://www.ncbi.nlm.nih.gov/gene/653", "653")</f>
        <v>653</v>
      </c>
      <c r="D1204" t="str">
        <f>"Bmp5"</f>
        <v>Bmp5</v>
      </c>
      <c r="E1204" t="s">
        <v>3705</v>
      </c>
      <c r="F1204" t="s">
        <v>3685</v>
      </c>
      <c r="G1204" t="s">
        <v>3686</v>
      </c>
      <c r="H1204" s="523">
        <v>9</v>
      </c>
      <c r="I1204" s="238">
        <v>7.3751480754483998</v>
      </c>
      <c r="J1204" s="36">
        <v>7.0378659736837603</v>
      </c>
      <c r="K1204" s="33">
        <v>7.3253184582970103</v>
      </c>
      <c r="L1204" s="2403">
        <v>8.4046108723053408</v>
      </c>
      <c r="M1204" s="675">
        <v>8.3599169584609392</v>
      </c>
      <c r="N1204" s="564">
        <v>8.5393425726974108</v>
      </c>
      <c r="O1204" s="1048">
        <v>6.7967254686983303</v>
      </c>
      <c r="P1204" s="554">
        <v>6.9692557380920501</v>
      </c>
      <c r="Q1204" s="2038">
        <v>6.8671772675993603</v>
      </c>
      <c r="R1204" s="722">
        <v>6.5805137793062798</v>
      </c>
      <c r="S1204" s="627">
        <v>7.0956788114362297</v>
      </c>
      <c r="T1204" s="1293">
        <v>6.8115630222460597</v>
      </c>
    </row>
    <row r="1205" spans="1:20">
      <c r="A1205" t="s">
        <v>3687</v>
      </c>
      <c r="B1205" s="6" t="str">
        <f>HYPERLINK("http://www.ncbi.nlm.nih.gov/gene/17076", "17076")</f>
        <v>17076</v>
      </c>
      <c r="C1205" s="6" t="str">
        <f>HYPERLINK("http://www.ncbi.nlm.nih.gov/gene/4065", "4065")</f>
        <v>4065</v>
      </c>
      <c r="D1205" t="str">
        <f>"Ly75"</f>
        <v>Ly75</v>
      </c>
      <c r="E1205" t="s">
        <v>3688</v>
      </c>
      <c r="F1205" t="s">
        <v>3689</v>
      </c>
      <c r="H1205" s="523">
        <v>9</v>
      </c>
      <c r="I1205" s="310">
        <v>4.1614196779270802</v>
      </c>
      <c r="J1205" s="58">
        <v>3.6760910837953999</v>
      </c>
      <c r="K1205" s="227">
        <v>4.0143744971563704</v>
      </c>
      <c r="L1205" s="2429">
        <v>5.1135398608290803</v>
      </c>
      <c r="M1205" s="810">
        <v>5.3791608825287902</v>
      </c>
      <c r="N1205" s="679">
        <v>5.2113285983058004</v>
      </c>
      <c r="O1205" s="1016">
        <v>3.5749969279871499</v>
      </c>
      <c r="P1205" s="793">
        <v>4.0284163454593802</v>
      </c>
      <c r="Q1205" s="2246">
        <v>3.68383294150245</v>
      </c>
      <c r="R1205" s="1040">
        <v>3.5832917794992398</v>
      </c>
      <c r="S1205" s="1179">
        <v>3.5655584537237801</v>
      </c>
      <c r="T1205" s="843">
        <v>3.6841828866383501</v>
      </c>
    </row>
    <row r="1206" spans="1:20">
      <c r="A1206" t="s">
        <v>3690</v>
      </c>
      <c r="B1206" s="6" t="str">
        <f>HYPERLINK("http://www.ncbi.nlm.nih.gov/gene/237091", "237091")</f>
        <v>237091</v>
      </c>
      <c r="C1206" s="6" t="str">
        <f>HYPERLINK("http://www.ncbi.nlm.nih.gov/gene/340596", "340596")</f>
        <v>340596</v>
      </c>
      <c r="D1206" t="str">
        <f>"Lhfpl1"</f>
        <v>Lhfpl1</v>
      </c>
      <c r="E1206" t="s">
        <v>3709</v>
      </c>
      <c r="F1206" t="s">
        <v>37</v>
      </c>
      <c r="H1206" s="523">
        <v>9</v>
      </c>
      <c r="I1206" s="31">
        <v>6.3556526563366802</v>
      </c>
      <c r="J1206" s="52">
        <v>6.1704569786469303</v>
      </c>
      <c r="K1206" s="176">
        <v>6.2986233088417496</v>
      </c>
      <c r="L1206" s="2453">
        <v>7.6941260700099301</v>
      </c>
      <c r="M1206" s="582">
        <v>7.6599792869296097</v>
      </c>
      <c r="N1206" s="657">
        <v>7.5010998129605699</v>
      </c>
      <c r="O1206" s="1190">
        <v>5.92227852471476</v>
      </c>
      <c r="P1206" s="627">
        <v>6.1286033122033796</v>
      </c>
      <c r="Q1206" s="2404">
        <v>6.0673201226974403</v>
      </c>
      <c r="R1206" s="1585">
        <v>5.5146853847016404</v>
      </c>
      <c r="S1206" s="1191">
        <v>5.7388849834473703</v>
      </c>
      <c r="T1206" s="879">
        <v>5.8284680503695299</v>
      </c>
    </row>
    <row r="1207" spans="1:20">
      <c r="A1207" t="s">
        <v>3710</v>
      </c>
      <c r="B1207" s="6" t="str">
        <f>HYPERLINK("http://www.ncbi.nlm.nih.gov/gene/13078", "13078")</f>
        <v>13078</v>
      </c>
      <c r="C1207" s="6" t="str">
        <f>HYPERLINK("http://www.ncbi.nlm.nih.gov/gene/1545", "1545")</f>
        <v>1545</v>
      </c>
      <c r="D1207" t="str">
        <f>"Cyp1b1"</f>
        <v>Cyp1b1</v>
      </c>
      <c r="E1207" t="s">
        <v>3711</v>
      </c>
      <c r="F1207" t="s">
        <v>3712</v>
      </c>
      <c r="G1207" t="s">
        <v>3697</v>
      </c>
      <c r="H1207" s="523">
        <v>9</v>
      </c>
      <c r="I1207" s="230">
        <v>5.0560609592725703</v>
      </c>
      <c r="J1207" s="185">
        <v>4.9795679078964898</v>
      </c>
      <c r="K1207" s="82">
        <v>4.8725779524834598</v>
      </c>
      <c r="L1207" s="2449">
        <v>5.8531199012359902</v>
      </c>
      <c r="M1207" s="755">
        <v>5.9434061974865804</v>
      </c>
      <c r="N1207" s="841">
        <v>6.3388568500867599</v>
      </c>
      <c r="O1207" s="1353">
        <v>4.5674981679239002</v>
      </c>
      <c r="P1207" s="543">
        <v>4.5752107100994603</v>
      </c>
      <c r="Q1207" s="2054">
        <v>4.3456799764303202</v>
      </c>
      <c r="R1207" s="1447">
        <v>3.9006961528017001</v>
      </c>
      <c r="S1207" s="1191">
        <v>4.1963909724263901</v>
      </c>
      <c r="T1207" s="1606">
        <v>4.0032382937793596</v>
      </c>
    </row>
    <row r="1208" spans="1:20">
      <c r="A1208" t="s">
        <v>3698</v>
      </c>
      <c r="B1208" s="6" t="str">
        <f>HYPERLINK("http://www.ncbi.nlm.nih.gov/gene/94040", "94040")</f>
        <v>94040</v>
      </c>
      <c r="C1208" s="6" t="str">
        <f>HYPERLINK("http://www.ncbi.nlm.nih.gov/gene/79789", "79789")</f>
        <v>79789</v>
      </c>
      <c r="D1208" t="str">
        <f>"Clmn"</f>
        <v>Clmn</v>
      </c>
      <c r="E1208" t="s">
        <v>3699</v>
      </c>
      <c r="F1208" t="s">
        <v>3700</v>
      </c>
      <c r="H1208" s="523">
        <v>9</v>
      </c>
      <c r="I1208" s="307">
        <v>5.9964320136135703</v>
      </c>
      <c r="J1208" s="170">
        <v>5.6657864809829102</v>
      </c>
      <c r="K1208" s="421">
        <v>5.9723597510081596</v>
      </c>
      <c r="L1208" s="2405">
        <v>7.1982477948819197</v>
      </c>
      <c r="M1208" s="631">
        <v>7.1948223085002097</v>
      </c>
      <c r="N1208" s="686">
        <v>7.3908795173227499</v>
      </c>
      <c r="O1208" s="1393">
        <v>4.8692596938462103</v>
      </c>
      <c r="P1208" s="629">
        <v>5.3206451360313798</v>
      </c>
      <c r="Q1208" s="2103">
        <v>5.40326176485123</v>
      </c>
      <c r="R1208" s="1572">
        <v>4.1986049348088903</v>
      </c>
      <c r="S1208" s="1591">
        <v>4.3481828751966898</v>
      </c>
      <c r="T1208" s="1739">
        <v>4.3414507168983203</v>
      </c>
    </row>
    <row r="1209" spans="1:20">
      <c r="A1209" t="s">
        <v>3701</v>
      </c>
      <c r="B1209" s="6" t="str">
        <f>HYPERLINK("http://www.ncbi.nlm.nih.gov/gene/17286", "17286")</f>
        <v>17286</v>
      </c>
      <c r="C1209" s="6" t="str">
        <f>HYPERLINK("http://www.ncbi.nlm.nih.gov/gene/4223", "4223")</f>
        <v>4223</v>
      </c>
      <c r="D1209" t="str">
        <f>"Meox2"</f>
        <v>Meox2</v>
      </c>
      <c r="E1209" t="s">
        <v>3702</v>
      </c>
      <c r="F1209" t="s">
        <v>3706</v>
      </c>
      <c r="H1209" s="523">
        <v>9</v>
      </c>
      <c r="I1209" s="310">
        <v>4.1337391970012796</v>
      </c>
      <c r="J1209" s="249">
        <v>4.3090745021916703</v>
      </c>
      <c r="K1209" s="364">
        <v>4.8530310900942899</v>
      </c>
      <c r="L1209" s="2492">
        <v>5.6930885181380004</v>
      </c>
      <c r="M1209" s="728">
        <v>5.7610162867261003</v>
      </c>
      <c r="N1209" s="602">
        <v>6.2245429713818199</v>
      </c>
      <c r="O1209" s="1172">
        <v>3.4327960443607899</v>
      </c>
      <c r="P1209" s="636">
        <v>3.4049067179394901</v>
      </c>
      <c r="Q1209" s="2281">
        <v>3.2691928476752699</v>
      </c>
      <c r="R1209" s="555">
        <v>2.92305317045914</v>
      </c>
      <c r="S1209" s="1321">
        <v>2.54842191839285</v>
      </c>
      <c r="T1209" s="1325">
        <v>2.5067354696886301</v>
      </c>
    </row>
    <row r="1210" spans="1:20">
      <c r="A1210" t="s">
        <v>3707</v>
      </c>
      <c r="B1210" s="6" t="str">
        <f>HYPERLINK("http://www.ncbi.nlm.nih.gov/gene/79362", "79362")</f>
        <v>79362</v>
      </c>
      <c r="C1210" s="6" t="str">
        <f>HYPERLINK("http://www.ncbi.nlm.nih.gov/gene/", "")</f>
        <v/>
      </c>
      <c r="D1210" t="str">
        <f>"Bhlhe41"</f>
        <v>Bhlhe41</v>
      </c>
      <c r="E1210" t="s">
        <v>3708</v>
      </c>
      <c r="F1210" t="s">
        <v>3713</v>
      </c>
      <c r="G1210" t="s">
        <v>1544</v>
      </c>
      <c r="H1210" s="523">
        <v>9</v>
      </c>
      <c r="I1210" s="464">
        <v>5.0640309096309002</v>
      </c>
      <c r="J1210" s="319">
        <v>5.0670887510595897</v>
      </c>
      <c r="K1210" s="230">
        <v>5.0409247235702797</v>
      </c>
      <c r="L1210" s="2515">
        <v>5.97606758982662</v>
      </c>
      <c r="M1210" s="590">
        <v>6.1369806352024003</v>
      </c>
      <c r="N1210" s="587">
        <v>6.40589030827039</v>
      </c>
      <c r="O1210" s="1574">
        <v>4.0315280393137201</v>
      </c>
      <c r="P1210" s="572">
        <v>4.2231683215317197</v>
      </c>
      <c r="Q1210" s="2246">
        <v>4.1929769971883202</v>
      </c>
      <c r="R1210" s="1593">
        <v>3.3928920556817999</v>
      </c>
      <c r="S1210" s="659">
        <v>4.3296722495446103</v>
      </c>
      <c r="T1210" s="1328">
        <v>4.0454824663271101</v>
      </c>
    </row>
    <row r="1211" spans="1:20">
      <c r="A1211" t="s">
        <v>3714</v>
      </c>
      <c r="B1211" s="6" t="str">
        <f>HYPERLINK("http://www.ncbi.nlm.nih.gov/gene/98878", "98878")</f>
        <v>98878</v>
      </c>
      <c r="C1211" s="6" t="str">
        <f>HYPERLINK("http://www.ncbi.nlm.nih.gov/gene/30844", "30844")</f>
        <v>30844</v>
      </c>
      <c r="D1211" t="str">
        <f>"Ehd4"</f>
        <v>Ehd4</v>
      </c>
      <c r="E1211" t="s">
        <v>3715</v>
      </c>
      <c r="F1211" t="s">
        <v>3723</v>
      </c>
      <c r="G1211" t="s">
        <v>1290</v>
      </c>
      <c r="H1211" s="523">
        <v>9</v>
      </c>
      <c r="I1211" s="333">
        <v>6.0416717908591897</v>
      </c>
      <c r="J1211" s="82">
        <v>5.9585151338562596</v>
      </c>
      <c r="K1211" s="249">
        <v>6.1335716217089002</v>
      </c>
      <c r="L1211" s="1972">
        <v>7.1386235379564704</v>
      </c>
      <c r="M1211" s="607">
        <v>7.3875962906034296</v>
      </c>
      <c r="N1211" s="682">
        <v>7.5184153742065698</v>
      </c>
      <c r="O1211" s="1187">
        <v>5.1484195977653098</v>
      </c>
      <c r="P1211" s="1346">
        <v>5.2964766833003996</v>
      </c>
      <c r="Q1211" s="2097">
        <v>5.2390613612248398</v>
      </c>
      <c r="R1211" s="1591">
        <v>4.9339718441763099</v>
      </c>
      <c r="S1211" s="592">
        <v>5.5288149170014602</v>
      </c>
      <c r="T1211" s="857">
        <v>5.4102595970701897</v>
      </c>
    </row>
    <row r="1212" spans="1:20">
      <c r="A1212" t="s">
        <v>3724</v>
      </c>
      <c r="B1212" s="6" t="str">
        <f>HYPERLINK("http://www.ncbi.nlm.nih.gov/gene/16401", "16401")</f>
        <v>16401</v>
      </c>
      <c r="C1212" s="6" t="str">
        <f>HYPERLINK("http://www.ncbi.nlm.nih.gov/gene/3676", "3676")</f>
        <v>3676</v>
      </c>
      <c r="D1212" t="str">
        <f>"Itga4"</f>
        <v>Itga4</v>
      </c>
      <c r="E1212" t="s">
        <v>3725</v>
      </c>
      <c r="F1212" t="s">
        <v>3716</v>
      </c>
      <c r="G1212" t="s">
        <v>3717</v>
      </c>
      <c r="H1212" s="523">
        <v>9</v>
      </c>
      <c r="I1212" s="292">
        <v>6.6416049147151304</v>
      </c>
      <c r="J1212" s="351">
        <v>6.3539866956278299</v>
      </c>
      <c r="K1212" s="421">
        <v>6.5210504241070399</v>
      </c>
      <c r="L1212" s="2661">
        <v>7.8193324684006296</v>
      </c>
      <c r="M1212" s="804">
        <v>7.8081528620420402</v>
      </c>
      <c r="N1212" s="837">
        <v>7.8750479917129796</v>
      </c>
      <c r="O1212" s="1176">
        <v>5.2081264738682496</v>
      </c>
      <c r="P1212" s="1179">
        <v>5.2596638864456899</v>
      </c>
      <c r="Q1212" s="2066">
        <v>5.6298204054041898</v>
      </c>
      <c r="R1212" s="1439">
        <v>5.0715709378204004</v>
      </c>
      <c r="S1212" s="1306">
        <v>4.9948158966772302</v>
      </c>
      <c r="T1212" s="1310">
        <v>5.2351208477976696</v>
      </c>
    </row>
    <row r="1213" spans="1:20">
      <c r="A1213" t="s">
        <v>3718</v>
      </c>
      <c r="B1213" s="6" t="str">
        <f>HYPERLINK("http://www.ncbi.nlm.nih.gov/gene/53881", "53881")</f>
        <v>53881</v>
      </c>
      <c r="C1213" s="6" t="str">
        <f>HYPERLINK("http://www.ncbi.nlm.nih.gov/gene/6526", "6526")</f>
        <v>6526</v>
      </c>
      <c r="D1213" t="str">
        <f>"Slc5a3"</f>
        <v>Slc5a3</v>
      </c>
      <c r="E1213" t="s">
        <v>3719</v>
      </c>
      <c r="F1213" t="s">
        <v>3752</v>
      </c>
      <c r="H1213" s="523">
        <v>9</v>
      </c>
      <c r="I1213" s="326">
        <v>6.7359704232666404</v>
      </c>
      <c r="J1213" s="282">
        <v>6.6137441635110799</v>
      </c>
      <c r="K1213" s="401">
        <v>6.6263318119643104</v>
      </c>
      <c r="L1213" s="2409">
        <v>7.9707310290877302</v>
      </c>
      <c r="M1213" s="689">
        <v>7.9031293329571097</v>
      </c>
      <c r="N1213" s="707">
        <v>8.0996629200318608</v>
      </c>
      <c r="O1213" s="1599">
        <v>4.7989285495011202</v>
      </c>
      <c r="P1213" s="1109">
        <v>5.14096260919783</v>
      </c>
      <c r="Q1213" s="2042">
        <v>5.0940207676975398</v>
      </c>
      <c r="R1213" s="1179">
        <v>5.1189469052063199</v>
      </c>
      <c r="S1213" s="859">
        <v>5.1358903615478102</v>
      </c>
      <c r="T1213" s="893">
        <v>5.0169238488134296</v>
      </c>
    </row>
    <row r="1214" spans="1:20">
      <c r="A1214" t="s">
        <v>3753</v>
      </c>
      <c r="B1214" s="6" t="str">
        <f>HYPERLINK("http://www.ncbi.nlm.nih.gov/gene/20341", "20341")</f>
        <v>20341</v>
      </c>
      <c r="C1214" s="6" t="str">
        <f>HYPERLINK("http://www.ncbi.nlm.nih.gov/gene/8991", "8991")</f>
        <v>8991</v>
      </c>
      <c r="D1214" t="str">
        <f>"Selenbp1"</f>
        <v>Selenbp1</v>
      </c>
      <c r="E1214" t="s">
        <v>3754</v>
      </c>
      <c r="F1214" t="s">
        <v>3729</v>
      </c>
      <c r="H1214" s="523">
        <v>9</v>
      </c>
      <c r="I1214" s="332">
        <v>6.7085950016710303</v>
      </c>
      <c r="J1214" s="465">
        <v>6.5805253906592398</v>
      </c>
      <c r="K1214" s="255">
        <v>6.8020636799670502</v>
      </c>
      <c r="L1214" s="2424">
        <v>8.4443522549029595</v>
      </c>
      <c r="M1214" s="1157">
        <v>7.9657436072322003</v>
      </c>
      <c r="N1214" s="586">
        <v>8.2832799531505792</v>
      </c>
      <c r="O1214" s="1072">
        <v>5.5148223417633</v>
      </c>
      <c r="P1214" s="1324">
        <v>5.67179450112992</v>
      </c>
      <c r="Q1214" s="2314">
        <v>5.4807170600450998</v>
      </c>
      <c r="R1214" s="872">
        <v>5.5182081319640703</v>
      </c>
      <c r="S1214" s="1281">
        <v>5.44122897754837</v>
      </c>
      <c r="T1214" s="1421">
        <v>5.5196640151034497</v>
      </c>
    </row>
    <row r="1215" spans="1:20">
      <c r="A1215" t="s">
        <v>3730</v>
      </c>
      <c r="B1215" s="6" t="str">
        <f>HYPERLINK("http://www.ncbi.nlm.nih.gov/gene/14585", "14585")</f>
        <v>14585</v>
      </c>
      <c r="C1215" s="6" t="str">
        <f>HYPERLINK("http://www.ncbi.nlm.nih.gov/gene/2674", "2674")</f>
        <v>2674</v>
      </c>
      <c r="D1215" t="str">
        <f>"Gfra1"</f>
        <v>Gfra1</v>
      </c>
      <c r="E1215" t="s">
        <v>3731</v>
      </c>
      <c r="F1215" t="s">
        <v>3720</v>
      </c>
      <c r="H1215" s="523">
        <v>9</v>
      </c>
      <c r="I1215" s="364">
        <v>8.6762776036503695</v>
      </c>
      <c r="J1215" s="324">
        <v>8.4238563427881097</v>
      </c>
      <c r="K1215" s="30">
        <v>8.7956092274444195</v>
      </c>
      <c r="L1215" s="2502">
        <v>9.3867019034334405</v>
      </c>
      <c r="M1215" s="1237">
        <v>9.3889285082220297</v>
      </c>
      <c r="N1215" s="559">
        <v>9.4682937888397998</v>
      </c>
      <c r="O1215" s="996">
        <v>7.3937949267208998</v>
      </c>
      <c r="P1215" s="609">
        <v>7.3793687006325897</v>
      </c>
      <c r="Q1215" s="2041">
        <v>7.2334480402665804</v>
      </c>
      <c r="R1215" s="1173">
        <v>6.2457153436108799</v>
      </c>
      <c r="S1215" s="1319">
        <v>6.4861354197917596</v>
      </c>
      <c r="T1215" s="1762">
        <v>6.2142789207529603</v>
      </c>
    </row>
    <row r="1216" spans="1:20">
      <c r="A1216" t="s">
        <v>3721</v>
      </c>
      <c r="B1216" s="6" t="str">
        <f>HYPERLINK("http://www.ncbi.nlm.nih.gov/gene/20716", "20716")</f>
        <v>20716</v>
      </c>
      <c r="C1216" s="6" t="str">
        <f>HYPERLINK("http://www.ncbi.nlm.nih.gov/gene/12", "12")</f>
        <v>12</v>
      </c>
      <c r="D1216" t="str">
        <f>"Serpina3n"</f>
        <v>Serpina3n</v>
      </c>
      <c r="E1216" t="s">
        <v>3722</v>
      </c>
      <c r="F1216" t="s">
        <v>3738</v>
      </c>
      <c r="H1216" s="523">
        <v>9</v>
      </c>
      <c r="I1216" s="364">
        <v>6.0293767279130197</v>
      </c>
      <c r="J1216" s="437">
        <v>5.5861365146134396</v>
      </c>
      <c r="K1216" s="325">
        <v>5.8492974837083702</v>
      </c>
      <c r="L1216" s="2403">
        <v>7.5173432990893296</v>
      </c>
      <c r="M1216" s="559">
        <v>7.0701871632540403</v>
      </c>
      <c r="N1216" s="1120">
        <v>6.9270282607851899</v>
      </c>
      <c r="O1216" s="1453">
        <v>4.0544716893465402</v>
      </c>
      <c r="P1216" s="578">
        <v>3.5379703516823602</v>
      </c>
      <c r="Q1216" s="2057">
        <v>4.2442855077376898</v>
      </c>
      <c r="R1216" s="1281">
        <v>3.6301932122468101</v>
      </c>
      <c r="S1216" s="1167">
        <v>3.4064611751104401</v>
      </c>
      <c r="T1216" s="1796">
        <v>3.0603902637404201</v>
      </c>
    </row>
    <row r="1217" spans="1:20">
      <c r="A1217" t="s">
        <v>3739</v>
      </c>
      <c r="B1217" s="6" t="str">
        <f>HYPERLINK("http://www.ncbi.nlm.nih.gov/gene/16775", "16775")</f>
        <v>16775</v>
      </c>
      <c r="C1217" s="6" t="str">
        <f>HYPERLINK("http://www.ncbi.nlm.nih.gov/gene/3910", "3910")</f>
        <v>3910</v>
      </c>
      <c r="D1217" t="str">
        <f>"Lama4"</f>
        <v>Lama4</v>
      </c>
      <c r="E1217" t="s">
        <v>3740</v>
      </c>
      <c r="F1217" t="s">
        <v>3759</v>
      </c>
      <c r="G1217" t="s">
        <v>3741</v>
      </c>
      <c r="H1217" s="523">
        <v>9</v>
      </c>
      <c r="I1217" s="277">
        <v>7.2094784115030102</v>
      </c>
      <c r="J1217" s="251">
        <v>7.0437692815833604</v>
      </c>
      <c r="K1217" s="364">
        <v>7.1658169552326596</v>
      </c>
      <c r="L1217" s="2662">
        <v>8.2347125049367804</v>
      </c>
      <c r="M1217" s="1157">
        <v>8.2993937113300404</v>
      </c>
      <c r="N1217" s="639">
        <v>8.3461410263595202</v>
      </c>
      <c r="O1217" s="1052">
        <v>4.88483344868719</v>
      </c>
      <c r="P1217" s="1181">
        <v>4.84906193440841</v>
      </c>
      <c r="Q1217" s="2315">
        <v>4.8875266835148903</v>
      </c>
      <c r="R1217" s="1323">
        <v>4.2570554100311204</v>
      </c>
      <c r="S1217" s="1073">
        <v>4.4895388427197798</v>
      </c>
      <c r="T1217" s="1797">
        <v>4.2426092443238304</v>
      </c>
    </row>
    <row r="1218" spans="1:20">
      <c r="A1218" t="s">
        <v>3742</v>
      </c>
      <c r="B1218" s="6" t="str">
        <f>HYPERLINK("http://www.ncbi.nlm.nih.gov/gene/59308", "59308")</f>
        <v>59308</v>
      </c>
      <c r="C1218" s="6" t="str">
        <f>HYPERLINK("http://www.ncbi.nlm.nih.gov/gene/51705", "51705")</f>
        <v>51705</v>
      </c>
      <c r="D1218" t="str">
        <f>"Emcn"</f>
        <v>Emcn</v>
      </c>
      <c r="E1218" t="s">
        <v>3743</v>
      </c>
      <c r="F1218" t="s">
        <v>3744</v>
      </c>
      <c r="H1218" s="523">
        <v>9</v>
      </c>
      <c r="I1218" s="356">
        <v>6.4856880251926601</v>
      </c>
      <c r="J1218" s="431">
        <v>6.1680727246563496</v>
      </c>
      <c r="K1218" s="462">
        <v>6.7665677773407298</v>
      </c>
      <c r="L1218" s="2514">
        <v>7.7576352198490701</v>
      </c>
      <c r="M1218" s="1120">
        <v>7.7435188091983704</v>
      </c>
      <c r="N1218" s="1496">
        <v>8.1563458213468003</v>
      </c>
      <c r="O1218" s="1200">
        <v>3.3160082588881399</v>
      </c>
      <c r="P1218" s="1029">
        <v>2.6807731677673599</v>
      </c>
      <c r="Q1218" s="2093">
        <v>3.1584261664572901</v>
      </c>
      <c r="R1218" s="1337">
        <v>2.4056741742103398</v>
      </c>
      <c r="S1218" s="1167">
        <v>2.3630138008468702</v>
      </c>
      <c r="T1218" s="1771">
        <v>2.0577018558271098</v>
      </c>
    </row>
    <row r="1219" spans="1:20">
      <c r="A1219" t="s">
        <v>3745</v>
      </c>
      <c r="B1219" s="6" t="str">
        <f>HYPERLINK("http://www.ncbi.nlm.nih.gov/gene/242316", "242316")</f>
        <v>242316</v>
      </c>
      <c r="C1219" s="6" t="str">
        <f>HYPERLINK("http://www.ncbi.nlm.nih.gov/gene/392255", "392255")</f>
        <v>392255</v>
      </c>
      <c r="D1219" t="str">
        <f>"Gdf6"</f>
        <v>Gdf6</v>
      </c>
      <c r="E1219" t="s">
        <v>3746</v>
      </c>
      <c r="F1219" t="s">
        <v>3726</v>
      </c>
      <c r="G1219" t="s">
        <v>222</v>
      </c>
      <c r="H1219" s="523">
        <v>9</v>
      </c>
      <c r="I1219" s="294">
        <v>5.5507915904339704</v>
      </c>
      <c r="J1219" s="324">
        <v>5.3221554060568597</v>
      </c>
      <c r="K1219" s="388">
        <v>5.59992239928558</v>
      </c>
      <c r="L1219" s="2662">
        <v>6.4630038237115102</v>
      </c>
      <c r="M1219" s="1496">
        <v>6.5960628036555198</v>
      </c>
      <c r="N1219" s="756">
        <v>6.6410760392942096</v>
      </c>
      <c r="O1219" s="1089">
        <v>3.7509408180307902</v>
      </c>
      <c r="P1219" s="1193">
        <v>3.4422191717430799</v>
      </c>
      <c r="Q1219" s="2137">
        <v>3.3540148784047399</v>
      </c>
      <c r="R1219" s="1289">
        <v>3.4035353810659701</v>
      </c>
      <c r="S1219" s="992">
        <v>3.5829600026809998</v>
      </c>
      <c r="T1219" s="1298">
        <v>3.3975868022390898</v>
      </c>
    </row>
    <row r="1220" spans="1:20">
      <c r="A1220" t="s">
        <v>3727</v>
      </c>
      <c r="B1220" s="6" t="str">
        <f>HYPERLINK("http://www.ncbi.nlm.nih.gov/gene/12583", "12583")</f>
        <v>12583</v>
      </c>
      <c r="C1220" s="6" t="str">
        <f>HYPERLINK("http://www.ncbi.nlm.nih.gov/gene/1036", "1036")</f>
        <v>1036</v>
      </c>
      <c r="D1220" t="str">
        <f>"Cdo1"</f>
        <v>Cdo1</v>
      </c>
      <c r="E1220" t="s">
        <v>3728</v>
      </c>
      <c r="F1220" t="s">
        <v>3732</v>
      </c>
      <c r="G1220" t="s">
        <v>3733</v>
      </c>
      <c r="H1220" s="523">
        <v>9</v>
      </c>
      <c r="I1220" s="247">
        <v>8.7878173280251701</v>
      </c>
      <c r="J1220" s="192">
        <v>8.7333469583048995</v>
      </c>
      <c r="K1220" s="476">
        <v>9.0573719752681008</v>
      </c>
      <c r="L1220" s="2663">
        <v>9.3494568251741494</v>
      </c>
      <c r="M1220" s="974">
        <v>9.3451047193676295</v>
      </c>
      <c r="N1220" s="961">
        <v>9.2819747586987393</v>
      </c>
      <c r="O1220" s="1798">
        <v>9.3187378204280105</v>
      </c>
      <c r="P1220" s="1457">
        <v>9.3572833079668296</v>
      </c>
      <c r="Q1220" s="2648">
        <v>9.7678102112062302</v>
      </c>
      <c r="R1220" s="1163">
        <v>7.4473892989131896</v>
      </c>
      <c r="S1220" s="1671">
        <v>7.6692912676289202</v>
      </c>
      <c r="T1220" s="1762">
        <v>7.7745483888500404</v>
      </c>
    </row>
    <row r="1221" spans="1:20">
      <c r="A1221" t="s">
        <v>3734</v>
      </c>
      <c r="B1221" s="6" t="str">
        <f>HYPERLINK("http://www.ncbi.nlm.nih.gov/gene/100861902", "100861902")</f>
        <v>100861902</v>
      </c>
      <c r="C1221" s="6" t="str">
        <f>HYPERLINK("http://www.ncbi.nlm.nih.gov/gene/", "")</f>
        <v/>
      </c>
      <c r="D1221" t="str">
        <f>"LOC100861902"</f>
        <v>LOC100861902</v>
      </c>
      <c r="E1221" t="s">
        <v>3735</v>
      </c>
      <c r="H1221" s="523">
        <v>9</v>
      </c>
      <c r="I1221" s="330">
        <v>5.6276416518707899</v>
      </c>
      <c r="J1221" s="266">
        <v>5.52399676045576</v>
      </c>
      <c r="K1221" s="344">
        <v>5.7718023349542902</v>
      </c>
      <c r="L1221" s="2533">
        <v>6.24303525732459</v>
      </c>
      <c r="M1221" s="888">
        <v>6.2740825858231899</v>
      </c>
      <c r="N1221" s="970">
        <v>6.2842200128604198</v>
      </c>
      <c r="O1221" s="1777">
        <v>6.1374102284098804</v>
      </c>
      <c r="P1221" s="1248">
        <v>6.2365720144181296</v>
      </c>
      <c r="Q1221" s="2346">
        <v>6.26806924579469</v>
      </c>
      <c r="R1221" s="1722">
        <v>4.0048543299378103</v>
      </c>
      <c r="S1221" s="1134">
        <v>4.6088035122180298</v>
      </c>
      <c r="T1221" s="1799">
        <v>4.3679549622859604</v>
      </c>
    </row>
    <row r="1222" spans="1:20">
      <c r="A1222" t="s">
        <v>3736</v>
      </c>
      <c r="B1222" s="6" t="str">
        <f>HYPERLINK("http://www.ncbi.nlm.nih.gov/gene/208890", "208890")</f>
        <v>208890</v>
      </c>
      <c r="C1222" s="6" t="str">
        <f>HYPERLINK("http://www.ncbi.nlm.nih.gov/gene/115111", "115111")</f>
        <v>115111</v>
      </c>
      <c r="D1222" t="str">
        <f>"Slc26a7"</f>
        <v>Slc26a7</v>
      </c>
      <c r="E1222" t="s">
        <v>3737</v>
      </c>
      <c r="F1222" t="s">
        <v>3747</v>
      </c>
      <c r="G1222" t="s">
        <v>272</v>
      </c>
      <c r="H1222" s="523">
        <v>9</v>
      </c>
      <c r="I1222" s="249">
        <v>7.4090921937703298</v>
      </c>
      <c r="J1222" s="173">
        <v>7.1333652754500099</v>
      </c>
      <c r="K1222" s="314">
        <v>7.4797763016503698</v>
      </c>
      <c r="L1222" s="2581">
        <v>7.9413170581482504</v>
      </c>
      <c r="M1222" s="973">
        <v>8.0414929613726702</v>
      </c>
      <c r="N1222" s="970">
        <v>8.1293223959046799</v>
      </c>
      <c r="O1222" s="1798">
        <v>7.9370123863730102</v>
      </c>
      <c r="P1222" s="961">
        <v>7.8906749423908602</v>
      </c>
      <c r="Q1222" s="2664">
        <v>8.3262399677219801</v>
      </c>
      <c r="R1222" s="1775">
        <v>5.1734556076880596</v>
      </c>
      <c r="S1222" s="1445">
        <v>5.61162854727639</v>
      </c>
      <c r="T1222" s="1799">
        <v>5.5269532533606203</v>
      </c>
    </row>
    <row r="1223" spans="1:20">
      <c r="A1223" t="s">
        <v>3748</v>
      </c>
      <c r="B1223" s="6" t="str">
        <f>HYPERLINK("http://www.ncbi.nlm.nih.gov/gene/212539", "212539")</f>
        <v>212539</v>
      </c>
      <c r="C1223" s="6" t="str">
        <f>HYPERLINK("http://www.ncbi.nlm.nih.gov/gene/", "")</f>
        <v/>
      </c>
      <c r="D1223" t="str">
        <f>"Gm266"</f>
        <v>Gm266</v>
      </c>
      <c r="E1223" t="s">
        <v>3749</v>
      </c>
      <c r="F1223" t="s">
        <v>2919</v>
      </c>
      <c r="H1223" s="523">
        <v>9</v>
      </c>
      <c r="I1223" s="308">
        <v>5.83467981895995</v>
      </c>
      <c r="J1223" s="238">
        <v>5.75817987224052</v>
      </c>
      <c r="K1223" s="275">
        <v>6.04022270992201</v>
      </c>
      <c r="L1223" s="2549">
        <v>6.1184578871958397</v>
      </c>
      <c r="M1223" s="961">
        <v>6.1604596065894404</v>
      </c>
      <c r="N1223" s="956">
        <v>6.1211735836776899</v>
      </c>
      <c r="O1223" s="1521">
        <v>6.4271076288650102</v>
      </c>
      <c r="P1223" s="923">
        <v>6.3344323869672401</v>
      </c>
      <c r="Q1223" s="1960">
        <v>6.1985644621619498</v>
      </c>
      <c r="R1223" s="1800">
        <v>4.4150420083156803</v>
      </c>
      <c r="S1223" s="1682">
        <v>4.6583198987798502</v>
      </c>
      <c r="T1223" s="1773">
        <v>4.6225198295441396</v>
      </c>
    </row>
    <row r="1224" spans="1:20">
      <c r="A1224" t="s">
        <v>3750</v>
      </c>
      <c r="B1224" s="6" t="str">
        <f>HYPERLINK("http://www.ncbi.nlm.nih.gov/gene/231440", "231440")</f>
        <v>231440</v>
      </c>
      <c r="C1224" s="6" t="str">
        <f>HYPERLINK("http://www.ncbi.nlm.nih.gov/gene/25849", "25849")</f>
        <v>25849</v>
      </c>
      <c r="D1224" t="str">
        <f>"Parm1"</f>
        <v>Parm1</v>
      </c>
      <c r="E1224" t="s">
        <v>3751</v>
      </c>
      <c r="F1224" t="s">
        <v>3763</v>
      </c>
      <c r="H1224" s="523">
        <v>9</v>
      </c>
      <c r="I1224" s="255">
        <v>8.3674448650323008</v>
      </c>
      <c r="J1224" s="126">
        <v>8.0357842243928701</v>
      </c>
      <c r="K1224" s="227">
        <v>8.1271688482834001</v>
      </c>
      <c r="L1224" s="2517">
        <v>8.7568564388822594</v>
      </c>
      <c r="M1224" s="933">
        <v>8.5875151999856101</v>
      </c>
      <c r="N1224" s="912">
        <v>8.6338842217229494</v>
      </c>
      <c r="O1224" s="1294">
        <v>8.6654364618053599</v>
      </c>
      <c r="P1224" s="951">
        <v>8.5692769397498001</v>
      </c>
      <c r="Q1224" s="2296">
        <v>8.6827248598430096</v>
      </c>
      <c r="R1224" s="1150">
        <v>7.4763974280846499</v>
      </c>
      <c r="S1224" s="1594">
        <v>7.4957491200234196</v>
      </c>
      <c r="T1224" s="1801">
        <v>7.3219335992192702</v>
      </c>
    </row>
    <row r="1225" spans="1:20">
      <c r="A1225" t="s">
        <v>3764</v>
      </c>
      <c r="B1225" s="6" t="str">
        <f>HYPERLINK("http://www.ncbi.nlm.nih.gov/gene/20620", "20620")</f>
        <v>20620</v>
      </c>
      <c r="C1225" s="6" t="str">
        <f>HYPERLINK("http://www.ncbi.nlm.nih.gov/gene/10769", "10769")</f>
        <v>10769</v>
      </c>
      <c r="D1225" t="str">
        <f>"Plk2"</f>
        <v>Plk2</v>
      </c>
      <c r="E1225" t="s">
        <v>3755</v>
      </c>
      <c r="F1225" t="s">
        <v>3756</v>
      </c>
      <c r="H1225" s="523">
        <v>9</v>
      </c>
      <c r="I1225" s="292">
        <v>8.5805522157792105</v>
      </c>
      <c r="J1225" s="401">
        <v>8.5523344905346104</v>
      </c>
      <c r="K1225" s="339">
        <v>8.5600720781689805</v>
      </c>
      <c r="L1225" s="2665">
        <v>8.8056370949200602</v>
      </c>
      <c r="M1225" s="888">
        <v>8.8287920340796902</v>
      </c>
      <c r="N1225" s="1504">
        <v>8.9100185046770903</v>
      </c>
      <c r="O1225" s="1471">
        <v>8.59136713933494</v>
      </c>
      <c r="P1225" s="757">
        <v>8.6080977323082699</v>
      </c>
      <c r="Q1225" s="2224">
        <v>8.6257990828706994</v>
      </c>
      <c r="R1225" s="1163">
        <v>7.2525571267636799</v>
      </c>
      <c r="S1225" s="1021">
        <v>7.5407696787988199</v>
      </c>
      <c r="T1225" s="1802">
        <v>7.2724857242465699</v>
      </c>
    </row>
    <row r="1226" spans="1:20">
      <c r="A1226" t="s">
        <v>3757</v>
      </c>
      <c r="B1226" s="6" t="str">
        <f>HYPERLINK("http://www.ncbi.nlm.nih.gov/gene/16975", "16975")</f>
        <v>16975</v>
      </c>
      <c r="C1226" s="6" t="str">
        <f>HYPERLINK("http://www.ncbi.nlm.nih.gov/gene/7804", "7804")</f>
        <v>7804</v>
      </c>
      <c r="D1226" t="str">
        <f>"Lrp8"</f>
        <v>Lrp8</v>
      </c>
      <c r="E1226" t="s">
        <v>3758</v>
      </c>
      <c r="F1226" t="s">
        <v>3760</v>
      </c>
      <c r="H1226" s="523">
        <v>9</v>
      </c>
      <c r="I1226" s="266">
        <v>6.0280963135170103</v>
      </c>
      <c r="J1226" s="63">
        <v>6.1196874040706799</v>
      </c>
      <c r="K1226" s="481">
        <v>6.3600513507758896</v>
      </c>
      <c r="L1226" s="1970">
        <v>6.4122006874111204</v>
      </c>
      <c r="M1226" s="882">
        <v>6.3345072863376997</v>
      </c>
      <c r="N1226" s="558">
        <v>6.7591968629549397</v>
      </c>
      <c r="O1226" s="1425">
        <v>6.2653922403460998</v>
      </c>
      <c r="P1226" s="952">
        <v>6.3908375574482603</v>
      </c>
      <c r="Q1226" s="2299">
        <v>6.3714833011323897</v>
      </c>
      <c r="R1226" s="1701">
        <v>5.2776592341139699</v>
      </c>
      <c r="S1226" s="1691">
        <v>5.4341570598053002</v>
      </c>
      <c r="T1226" s="1803">
        <v>5.2089456467789104</v>
      </c>
    </row>
    <row r="1227" spans="1:20">
      <c r="A1227" t="s">
        <v>3761</v>
      </c>
      <c r="B1227" s="6" t="str">
        <f>HYPERLINK("http://www.ncbi.nlm.nih.gov/gene/15484", "15484")</f>
        <v>15484</v>
      </c>
      <c r="C1227" s="6" t="str">
        <f>HYPERLINK("http://www.ncbi.nlm.nih.gov/gene/3291", "3291")</f>
        <v>3291</v>
      </c>
      <c r="D1227" t="str">
        <f>"Hsd11b2"</f>
        <v>Hsd11b2</v>
      </c>
      <c r="E1227" t="s">
        <v>3762</v>
      </c>
      <c r="F1227" t="s">
        <v>3765</v>
      </c>
      <c r="G1227" t="s">
        <v>3766</v>
      </c>
      <c r="H1227" s="523">
        <v>9</v>
      </c>
      <c r="I1227" s="104">
        <v>5.5527262137441404</v>
      </c>
      <c r="J1227" s="408">
        <v>5.8467859952026604</v>
      </c>
      <c r="K1227" s="185">
        <v>5.7648593265808801</v>
      </c>
      <c r="L1227" s="2581">
        <v>5.99882119150812</v>
      </c>
      <c r="M1227" s="895">
        <v>6.0497033951119796</v>
      </c>
      <c r="N1227" s="1484">
        <v>6.0185518612852897</v>
      </c>
      <c r="O1227" s="1761">
        <v>6.2373972373299198</v>
      </c>
      <c r="P1227" s="923">
        <v>6.0852225513954901</v>
      </c>
      <c r="Q1227" s="2022">
        <v>5.8629317875653104</v>
      </c>
      <c r="R1227" s="1144">
        <v>5.0722317483540902</v>
      </c>
      <c r="S1227" s="1804">
        <v>4.9186028230768297</v>
      </c>
      <c r="T1227" s="1315">
        <v>5.1271967249321397</v>
      </c>
    </row>
    <row r="1228" spans="1:20">
      <c r="A1228" t="s">
        <v>3767</v>
      </c>
      <c r="B1228" s="6" t="str">
        <f>HYPERLINK("http://www.ncbi.nlm.nih.gov/gene/18654", "18654")</f>
        <v>18654</v>
      </c>
      <c r="C1228" s="6" t="str">
        <f>HYPERLINK("http://www.ncbi.nlm.nih.gov/gene/5228", "5228")</f>
        <v>5228</v>
      </c>
      <c r="D1228" t="str">
        <f>"Pgf"</f>
        <v>Pgf</v>
      </c>
      <c r="E1228" t="s">
        <v>3768</v>
      </c>
      <c r="F1228" t="s">
        <v>3769</v>
      </c>
      <c r="G1228" t="s">
        <v>3770</v>
      </c>
      <c r="H1228" s="523">
        <v>9</v>
      </c>
      <c r="I1228" s="204">
        <v>5.7978250520158303</v>
      </c>
      <c r="J1228" s="365">
        <v>6.0511105181249203</v>
      </c>
      <c r="K1228" s="332">
        <v>6.0625981723605697</v>
      </c>
      <c r="L1228" s="2534">
        <v>6.4094591794233402</v>
      </c>
      <c r="M1228" s="881">
        <v>6.4396898686102402</v>
      </c>
      <c r="N1228" s="939">
        <v>6.1120176219880404</v>
      </c>
      <c r="O1228" s="1521">
        <v>6.47337212366799</v>
      </c>
      <c r="P1228" s="981">
        <v>6.4208878484431402</v>
      </c>
      <c r="Q1228" s="2666">
        <v>6.3235498558531296</v>
      </c>
      <c r="R1228" s="1139">
        <v>5.1695784719048001</v>
      </c>
      <c r="S1228" s="1620">
        <v>5.2147397423906998</v>
      </c>
      <c r="T1228" s="1805">
        <v>5.1396607427592</v>
      </c>
    </row>
    <row r="1229" spans="1:20">
      <c r="A1229" t="s">
        <v>3771</v>
      </c>
      <c r="B1229" s="6" t="str">
        <f>HYPERLINK("http://www.ncbi.nlm.nih.gov/gene/57329", "57329")</f>
        <v>57329</v>
      </c>
      <c r="C1229" s="6" t="str">
        <f>HYPERLINK("http://www.ncbi.nlm.nih.gov/gene/56914", "56914")</f>
        <v>56914</v>
      </c>
      <c r="D1229" t="str">
        <f>"Otor"</f>
        <v>Otor</v>
      </c>
      <c r="E1229" t="s">
        <v>3772</v>
      </c>
      <c r="F1229" t="s">
        <v>3773</v>
      </c>
      <c r="H1229" s="523">
        <v>9</v>
      </c>
      <c r="I1229" s="88">
        <v>3.5130327931658298</v>
      </c>
      <c r="J1229" s="55">
        <v>3.7507927170407198</v>
      </c>
      <c r="K1229" s="32">
        <v>4.0652825934793801</v>
      </c>
      <c r="L1229" s="1990">
        <v>5.7347001816073</v>
      </c>
      <c r="M1229" s="1237">
        <v>5.9328784119717897</v>
      </c>
      <c r="N1229" s="714">
        <v>6.0072985727283603</v>
      </c>
      <c r="O1229" s="886">
        <v>5.0695798574112203</v>
      </c>
      <c r="P1229" s="962">
        <v>5.40302537951204</v>
      </c>
      <c r="Q1229" s="2194">
        <v>5.3823583598618798</v>
      </c>
      <c r="R1229" s="1134">
        <v>2.9071504413678899</v>
      </c>
      <c r="S1229" s="1317">
        <v>2.7178551229608199</v>
      </c>
      <c r="T1229" s="1605">
        <v>2.90702828271914</v>
      </c>
    </row>
    <row r="1230" spans="1:20">
      <c r="A1230" t="s">
        <v>3774</v>
      </c>
      <c r="B1230" s="6" t="str">
        <f>HYPERLINK("http://www.ncbi.nlm.nih.gov/gene/23792", "23792")</f>
        <v>23792</v>
      </c>
      <c r="C1230" s="6" t="str">
        <f>HYPERLINK("http://www.ncbi.nlm.nih.gov/gene/8745", "8745")</f>
        <v>8745</v>
      </c>
      <c r="D1230" t="str">
        <f>"Adam23"</f>
        <v>Adam23</v>
      </c>
      <c r="E1230" t="s">
        <v>3775</v>
      </c>
      <c r="F1230" t="s">
        <v>3776</v>
      </c>
      <c r="H1230" s="523">
        <v>9</v>
      </c>
      <c r="I1230" s="437">
        <v>6.1611864777209604</v>
      </c>
      <c r="J1230" s="76">
        <v>5.9111681328555399</v>
      </c>
      <c r="K1230" s="286">
        <v>6.23547901351309</v>
      </c>
      <c r="L1230" s="2544">
        <v>6.8906017329966103</v>
      </c>
      <c r="M1230" s="919">
        <v>6.9590184284629304</v>
      </c>
      <c r="N1230" s="1508">
        <v>6.8693936506476501</v>
      </c>
      <c r="O1230" s="1806">
        <v>5.8871930138965904</v>
      </c>
      <c r="P1230" s="1251">
        <v>5.9606655994795004</v>
      </c>
      <c r="Q1230" s="2266">
        <v>6.0961914711199299</v>
      </c>
      <c r="R1230" s="1148">
        <v>4.7003741553923897</v>
      </c>
      <c r="S1230" s="1807">
        <v>4.2465659071420498</v>
      </c>
      <c r="T1230" s="1734">
        <v>4.4793226708775</v>
      </c>
    </row>
    <row r="1231" spans="1:20">
      <c r="A1231" t="s">
        <v>3777</v>
      </c>
      <c r="B1231" s="6" t="str">
        <f>HYPERLINK("http://www.ncbi.nlm.nih.gov/gene/12737", "12737")</f>
        <v>12737</v>
      </c>
      <c r="C1231" s="6" t="str">
        <f>HYPERLINK("http://www.ncbi.nlm.nih.gov/gene/9076", "9076")</f>
        <v>9076</v>
      </c>
      <c r="D1231" t="str">
        <f>"Cldn1"</f>
        <v>Cldn1</v>
      </c>
      <c r="E1231" t="s">
        <v>3778</v>
      </c>
      <c r="F1231" t="s">
        <v>3779</v>
      </c>
      <c r="G1231" t="s">
        <v>451</v>
      </c>
      <c r="H1231" s="523">
        <v>9</v>
      </c>
      <c r="I1231" s="197">
        <v>5.3318027701905502</v>
      </c>
      <c r="J1231" s="310">
        <v>5.2780112995971198</v>
      </c>
      <c r="K1231" s="197">
        <v>5.3215879115407203</v>
      </c>
      <c r="L1231" s="2526">
        <v>6.0652579136164597</v>
      </c>
      <c r="M1231" s="634">
        <v>6.1144300667459399</v>
      </c>
      <c r="N1231" s="762">
        <v>6.3845057017577203</v>
      </c>
      <c r="O1231" s="1275">
        <v>5.4539987162533103</v>
      </c>
      <c r="P1231" s="1090">
        <v>5.4537546062796798</v>
      </c>
      <c r="Q1231" s="2215">
        <v>5.5053610427226802</v>
      </c>
      <c r="R1231" s="1808">
        <v>3.8400110273013701</v>
      </c>
      <c r="S1231" s="1445">
        <v>4.0850638557950196</v>
      </c>
      <c r="T1231" s="1772">
        <v>4.1595904153113796</v>
      </c>
    </row>
    <row r="1232" spans="1:20">
      <c r="A1232" t="s">
        <v>3780</v>
      </c>
      <c r="B1232" s="6" t="str">
        <f>HYPERLINK("http://www.ncbi.nlm.nih.gov/gene/751544", "751544")</f>
        <v>751544</v>
      </c>
      <c r="C1232" s="6" t="str">
        <f>HYPERLINK("http://www.ncbi.nlm.nih.gov/gene/", "")</f>
        <v/>
      </c>
      <c r="D1232" t="str">
        <f>"Mir532"</f>
        <v>Mir532</v>
      </c>
      <c r="E1232" t="s">
        <v>3781</v>
      </c>
      <c r="F1232" t="s">
        <v>3782</v>
      </c>
      <c r="H1232" s="523">
        <v>9</v>
      </c>
      <c r="I1232" s="22">
        <v>4.5062020354720698</v>
      </c>
      <c r="J1232" s="261">
        <v>3.8183287815615801</v>
      </c>
      <c r="K1232" s="216">
        <v>4.1767860749892103</v>
      </c>
      <c r="L1232" s="2237">
        <v>2.8119385430545201</v>
      </c>
      <c r="M1232" s="869">
        <v>2.9648936988101902</v>
      </c>
      <c r="N1232" s="672">
        <v>3.0675865519008401</v>
      </c>
      <c r="O1232" s="1114">
        <v>2.7050572147826899</v>
      </c>
      <c r="P1232" s="992">
        <v>2.5413796581996899</v>
      </c>
      <c r="Q1232" s="2108">
        <v>3.2378093814983</v>
      </c>
      <c r="R1232" s="688">
        <v>2.63020413718584</v>
      </c>
      <c r="S1232" s="567">
        <v>2.5255402410729402</v>
      </c>
      <c r="T1232" s="1299">
        <v>2.4860185979854101</v>
      </c>
    </row>
    <row r="1233" spans="1:20">
      <c r="A1233" t="s">
        <v>3783</v>
      </c>
      <c r="B1233" s="6" t="str">
        <f>HYPERLINK("http://www.ncbi.nlm.nih.gov/gene/16206", "16206")</f>
        <v>16206</v>
      </c>
      <c r="C1233" s="6" t="str">
        <f>HYPERLINK("http://www.ncbi.nlm.nih.gov/gene/26018", "26018")</f>
        <v>26018</v>
      </c>
      <c r="D1233" t="str">
        <f>"Lrig1"</f>
        <v>Lrig1</v>
      </c>
      <c r="E1233" t="s">
        <v>3784</v>
      </c>
      <c r="F1233" t="s">
        <v>2118</v>
      </c>
      <c r="H1233" s="523">
        <v>9</v>
      </c>
      <c r="I1233" s="200">
        <v>6.1843849811458798</v>
      </c>
      <c r="J1233" s="77">
        <v>5.8880059440582899</v>
      </c>
      <c r="K1233" s="329">
        <v>6.1016776688291197</v>
      </c>
      <c r="L1233" s="2251">
        <v>4.8364972950862803</v>
      </c>
      <c r="M1233" s="699">
        <v>4.8461047793236203</v>
      </c>
      <c r="N1233" s="836">
        <v>5.1077664289109297</v>
      </c>
      <c r="O1233" s="1060">
        <v>4.7110760271225498</v>
      </c>
      <c r="P1233" s="734">
        <v>4.6476923928981204</v>
      </c>
      <c r="Q1233" s="2074">
        <v>4.5221261358985299</v>
      </c>
      <c r="R1233" s="1181">
        <v>4.5753120496956496</v>
      </c>
      <c r="S1233" s="851">
        <v>4.7092284531570998</v>
      </c>
      <c r="T1233" s="730">
        <v>4.5793658984527896</v>
      </c>
    </row>
    <row r="1234" spans="1:20">
      <c r="A1234" t="s">
        <v>3785</v>
      </c>
      <c r="B1234" s="6" t="str">
        <f>HYPERLINK("http://www.ncbi.nlm.nih.gov/gene/208936", "208936")</f>
        <v>208936</v>
      </c>
      <c r="C1234" s="6" t="str">
        <f>HYPERLINK("http://www.ncbi.nlm.nih.gov/gene/170692", "170692")</f>
        <v>170692</v>
      </c>
      <c r="D1234" t="str">
        <f>"Adamts18"</f>
        <v>Adamts18</v>
      </c>
      <c r="E1234" t="s">
        <v>3786</v>
      </c>
      <c r="F1234" t="s">
        <v>3787</v>
      </c>
      <c r="H1234" s="523">
        <v>9</v>
      </c>
      <c r="I1234" s="200">
        <v>5.4488397213431199</v>
      </c>
      <c r="J1234" s="445">
        <v>4.7608476791721799</v>
      </c>
      <c r="K1234" s="200">
        <v>5.4510967143475701</v>
      </c>
      <c r="L1234" s="1900">
        <v>4.0144798357811098</v>
      </c>
      <c r="M1234" s="529">
        <v>3.7746662626853502</v>
      </c>
      <c r="N1234" s="732">
        <v>4.2210328000943997</v>
      </c>
      <c r="O1234" s="1091">
        <v>3.4017454760842298</v>
      </c>
      <c r="P1234" s="662">
        <v>3.5333244879332999</v>
      </c>
      <c r="Q1234" s="2074">
        <v>3.3324949934072601</v>
      </c>
      <c r="R1234" s="1037">
        <v>3.4266552147096898</v>
      </c>
      <c r="S1234" s="662">
        <v>3.5423618250644902</v>
      </c>
      <c r="T1234" s="1341">
        <v>3.2598387140598701</v>
      </c>
    </row>
    <row r="1235" spans="1:20">
      <c r="A1235" t="s">
        <v>3788</v>
      </c>
      <c r="B1235" s="6" t="str">
        <f>HYPERLINK("http://www.ncbi.nlm.nih.gov/gene/18821", "18821")</f>
        <v>18821</v>
      </c>
      <c r="C1235" s="6" t="str">
        <f>HYPERLINK("http://www.ncbi.nlm.nih.gov/gene/", "")</f>
        <v/>
      </c>
      <c r="D1235" t="str">
        <f>"Pln"</f>
        <v>Pln</v>
      </c>
      <c r="E1235" t="s">
        <v>3789</v>
      </c>
      <c r="F1235" t="s">
        <v>3790</v>
      </c>
      <c r="G1235" t="s">
        <v>3791</v>
      </c>
      <c r="H1235" s="523">
        <v>9</v>
      </c>
      <c r="I1235" s="56">
        <v>4.2024619590534797</v>
      </c>
      <c r="J1235" s="67">
        <v>3.7278533268371401</v>
      </c>
      <c r="K1235" s="168">
        <v>4.1706636538266002</v>
      </c>
      <c r="L1235" s="2048">
        <v>3.0063351394745399</v>
      </c>
      <c r="M1235" s="910">
        <v>2.9407540688732401</v>
      </c>
      <c r="N1235" s="1095">
        <v>3.0222316053979301</v>
      </c>
      <c r="O1235" s="1089">
        <v>2.6519294988545501</v>
      </c>
      <c r="P1235" s="1007">
        <v>2.6187962745198199</v>
      </c>
      <c r="Q1235" s="2281">
        <v>2.7075388312133399</v>
      </c>
      <c r="R1235" s="583">
        <v>2.7544371008052599</v>
      </c>
      <c r="S1235" s="555">
        <v>2.5477401550348899</v>
      </c>
      <c r="T1235" s="1408">
        <v>2.7038518367119799</v>
      </c>
    </row>
    <row r="1236" spans="1:20">
      <c r="A1236" t="s">
        <v>3792</v>
      </c>
      <c r="B1236" s="6" t="str">
        <f>HYPERLINK("http://www.ncbi.nlm.nih.gov/gene/12819", "12819")</f>
        <v>12819</v>
      </c>
      <c r="C1236" s="6" t="str">
        <f>HYPERLINK("http://www.ncbi.nlm.nih.gov/gene/1306", "1306")</f>
        <v>1306</v>
      </c>
      <c r="D1236" t="str">
        <f>"Col15a1"</f>
        <v>Col15a1</v>
      </c>
      <c r="E1236" t="s">
        <v>3793</v>
      </c>
      <c r="F1236" t="s">
        <v>3794</v>
      </c>
      <c r="G1236" t="s">
        <v>563</v>
      </c>
      <c r="H1236" s="523">
        <v>9</v>
      </c>
      <c r="I1236" s="93">
        <v>5.3541614962075101</v>
      </c>
      <c r="J1236" s="470">
        <v>4.9603361974604399</v>
      </c>
      <c r="K1236" s="256">
        <v>5.4429738955241902</v>
      </c>
      <c r="L1236" s="1935">
        <v>3.8806850824766399</v>
      </c>
      <c r="M1236" s="1006">
        <v>3.8702997818097802</v>
      </c>
      <c r="N1236" s="1226">
        <v>4.1757784565790299</v>
      </c>
      <c r="O1236" s="1206">
        <v>4.0134018507009097</v>
      </c>
      <c r="P1236" s="573">
        <v>3.6712641443281999</v>
      </c>
      <c r="Q1236" s="2427">
        <v>3.5836330660767901</v>
      </c>
      <c r="R1236" s="859">
        <v>3.5874446621898102</v>
      </c>
      <c r="S1236" s="1336">
        <v>3.49402766594676</v>
      </c>
      <c r="T1236" s="1352">
        <v>3.8440919144032102</v>
      </c>
    </row>
    <row r="1237" spans="1:20">
      <c r="A1237" t="s">
        <v>3795</v>
      </c>
      <c r="B1237" s="6" t="str">
        <f>HYPERLINK("http://www.ncbi.nlm.nih.gov/gene/72560", "72560")</f>
        <v>72560</v>
      </c>
      <c r="C1237" s="6" t="str">
        <f>HYPERLINK("http://www.ncbi.nlm.nih.gov/gene/10003", "10003")</f>
        <v>10003</v>
      </c>
      <c r="D1237" t="str">
        <f>"Naalad2"</f>
        <v>Naalad2</v>
      </c>
      <c r="E1237" t="s">
        <v>3796</v>
      </c>
      <c r="F1237" t="s">
        <v>3800</v>
      </c>
      <c r="H1237" s="523">
        <v>9</v>
      </c>
      <c r="I1237" s="102">
        <v>4.1560600495986</v>
      </c>
      <c r="J1237" s="184">
        <v>4.1135528670828396</v>
      </c>
      <c r="K1237" s="112">
        <v>4.2797531691885302</v>
      </c>
      <c r="L1237" s="2048">
        <v>3.1510731130687701</v>
      </c>
      <c r="M1237" s="654">
        <v>3.0720170396696802</v>
      </c>
      <c r="N1237" s="1228">
        <v>3.1412733747819099</v>
      </c>
      <c r="O1237" s="1587">
        <v>2.4658438937627798</v>
      </c>
      <c r="P1237" s="1340">
        <v>2.6954407738150401</v>
      </c>
      <c r="Q1237" s="2090">
        <v>3.1693004161779301</v>
      </c>
      <c r="R1237" s="859">
        <v>2.7349434133282999</v>
      </c>
      <c r="S1237" s="669">
        <v>2.9636300941366498</v>
      </c>
      <c r="T1237" s="1344">
        <v>2.87004025068146</v>
      </c>
    </row>
    <row r="1238" spans="1:20">
      <c r="A1238" t="s">
        <v>3801</v>
      </c>
      <c r="B1238" s="6" t="str">
        <f>HYPERLINK("http://www.ncbi.nlm.nih.gov/gene/93694", "93694")</f>
        <v>93694</v>
      </c>
      <c r="C1238" s="6" t="str">
        <f>HYPERLINK("http://www.ncbi.nlm.nih.gov/gene/", "")</f>
        <v/>
      </c>
      <c r="D1238" t="str">
        <f>"Clec2d"</f>
        <v>Clec2d</v>
      </c>
      <c r="E1238" t="s">
        <v>3802</v>
      </c>
      <c r="F1238" t="s">
        <v>3803</v>
      </c>
      <c r="H1238" s="523">
        <v>9</v>
      </c>
      <c r="I1238" s="201">
        <v>4.7593935805745504</v>
      </c>
      <c r="J1238" s="167">
        <v>4.6653786306009701</v>
      </c>
      <c r="K1238" s="256">
        <v>5.0705500897449101</v>
      </c>
      <c r="L1238" s="2006">
        <v>3.55962936712212</v>
      </c>
      <c r="M1238" s="805">
        <v>3.6954767812715601</v>
      </c>
      <c r="N1238" s="543">
        <v>3.2532487451146501</v>
      </c>
      <c r="O1238" s="1083">
        <v>2.8046573677866702</v>
      </c>
      <c r="P1238" s="992">
        <v>2.8816592035788098</v>
      </c>
      <c r="Q1238" s="2133">
        <v>3.1105939612647902</v>
      </c>
      <c r="R1238" s="1193">
        <v>2.79974286544339</v>
      </c>
      <c r="S1238" s="891">
        <v>3.0726131131223799</v>
      </c>
      <c r="T1238" s="660">
        <v>3.1674802982062902</v>
      </c>
    </row>
    <row r="1239" spans="1:20">
      <c r="A1239" t="s">
        <v>3804</v>
      </c>
      <c r="B1239" s="6" t="str">
        <f>HYPERLINK("http://www.ncbi.nlm.nih.gov/gene/94088", "94088")</f>
        <v>94088</v>
      </c>
      <c r="C1239" s="6" t="str">
        <f>HYPERLINK("http://www.ncbi.nlm.nih.gov/gene/117854", "117854")</f>
        <v>117854</v>
      </c>
      <c r="D1239" t="str">
        <f>"Trim6"</f>
        <v>Trim6</v>
      </c>
      <c r="E1239" t="s">
        <v>3805</v>
      </c>
      <c r="F1239" t="s">
        <v>3806</v>
      </c>
      <c r="H1239" s="523">
        <v>9</v>
      </c>
      <c r="I1239" s="152">
        <v>5.3529831908512602</v>
      </c>
      <c r="J1239" s="371">
        <v>5.0498556199869498</v>
      </c>
      <c r="K1239" s="463">
        <v>5.42333981424557</v>
      </c>
      <c r="L1239" s="2033">
        <v>3.82117820613855</v>
      </c>
      <c r="M1239" s="1251">
        <v>4.05893892128534</v>
      </c>
      <c r="N1239" s="543">
        <v>3.6631864497964202</v>
      </c>
      <c r="O1239" s="1366">
        <v>3.3983902953152101</v>
      </c>
      <c r="P1239" s="579">
        <v>3.5657350372095298</v>
      </c>
      <c r="Q1239" s="2238">
        <v>3.5073544633067701</v>
      </c>
      <c r="R1239" s="1029">
        <v>3.2367488617985098</v>
      </c>
      <c r="S1239" s="544">
        <v>3.4298579060339902</v>
      </c>
      <c r="T1239" s="684">
        <v>3.25979943993906</v>
      </c>
    </row>
    <row r="1240" spans="1:20">
      <c r="A1240" t="s">
        <v>3807</v>
      </c>
      <c r="B1240" s="6" t="str">
        <f>HYPERLINK("http://www.ncbi.nlm.nih.gov/gene/54409", "54409")</f>
        <v>54409</v>
      </c>
      <c r="C1240" s="6" t="str">
        <f>HYPERLINK("http://www.ncbi.nlm.nih.gov/gene/10266", "10266")</f>
        <v>10266</v>
      </c>
      <c r="D1240" t="str">
        <f>"Ramp2"</f>
        <v>Ramp2</v>
      </c>
      <c r="E1240" t="s">
        <v>3808</v>
      </c>
      <c r="F1240" t="s">
        <v>3812</v>
      </c>
      <c r="G1240" t="s">
        <v>159</v>
      </c>
      <c r="H1240" s="523">
        <v>9</v>
      </c>
      <c r="I1240" s="267">
        <v>7.7620351235306702</v>
      </c>
      <c r="J1240" s="116">
        <v>7.7099922841262902</v>
      </c>
      <c r="K1240" s="329">
        <v>7.8445405298117699</v>
      </c>
      <c r="L1240" s="2571">
        <v>5.9465744526037403</v>
      </c>
      <c r="M1240" s="690">
        <v>6.1920191344341502</v>
      </c>
      <c r="N1240" s="529">
        <v>5.9067395177882496</v>
      </c>
      <c r="O1240" s="1102">
        <v>5.6928758631166403</v>
      </c>
      <c r="P1240" s="537">
        <v>5.54207310247208</v>
      </c>
      <c r="Q1240" s="2250">
        <v>5.8008125577276903</v>
      </c>
      <c r="R1240" s="1308">
        <v>5.2103040031480798</v>
      </c>
      <c r="S1240" s="876">
        <v>5.3959842648376499</v>
      </c>
      <c r="T1240" s="730">
        <v>5.4568768045285099</v>
      </c>
    </row>
    <row r="1241" spans="1:20">
      <c r="A1241" t="s">
        <v>3813</v>
      </c>
      <c r="B1241" s="6" t="str">
        <f>HYPERLINK("http://www.ncbi.nlm.nih.gov/gene/84094", "84094")</f>
        <v>84094</v>
      </c>
      <c r="C1241" s="6" t="str">
        <f>HYPERLINK("http://www.ncbi.nlm.nih.gov/gene/83483", "83483")</f>
        <v>83483</v>
      </c>
      <c r="D1241" t="str">
        <f>"Plvap"</f>
        <v>Plvap</v>
      </c>
      <c r="E1241" t="s">
        <v>3814</v>
      </c>
      <c r="F1241" t="s">
        <v>3797</v>
      </c>
      <c r="H1241" s="523">
        <v>9</v>
      </c>
      <c r="I1241" s="222">
        <v>7.6475884110986598</v>
      </c>
      <c r="J1241" s="102">
        <v>7.6634835468470399</v>
      </c>
      <c r="K1241" s="119">
        <v>7.4266970233581002</v>
      </c>
      <c r="L1241" s="2573">
        <v>5.2860898958813403</v>
      </c>
      <c r="M1241" s="1454">
        <v>5.6418760600274602</v>
      </c>
      <c r="N1241" s="739">
        <v>5.4413310522683602</v>
      </c>
      <c r="O1241" s="1351">
        <v>4.2508385125255899</v>
      </c>
      <c r="P1241" s="1332">
        <v>3.5116572174813299</v>
      </c>
      <c r="Q1241" s="2555">
        <v>3.6646297108231098</v>
      </c>
      <c r="R1241" s="993">
        <v>3.74344810788664</v>
      </c>
      <c r="S1241" s="1073">
        <v>3.4123704834050002</v>
      </c>
      <c r="T1241" s="873">
        <v>3.4044873892146001</v>
      </c>
    </row>
    <row r="1242" spans="1:20">
      <c r="A1242" t="s">
        <v>3798</v>
      </c>
      <c r="B1242" s="6" t="str">
        <f>HYPERLINK("http://www.ncbi.nlm.nih.gov/gene/240479", "240479")</f>
        <v>240479</v>
      </c>
      <c r="C1242" s="6" t="str">
        <f>HYPERLINK("http://www.ncbi.nlm.nih.gov/gene/125704", "125704")</f>
        <v>125704</v>
      </c>
      <c r="D1242" t="str">
        <f>"Fam69c"</f>
        <v>Fam69c</v>
      </c>
      <c r="E1242" t="s">
        <v>3799</v>
      </c>
      <c r="F1242" t="s">
        <v>3809</v>
      </c>
      <c r="H1242" s="523">
        <v>9</v>
      </c>
      <c r="I1242" s="267">
        <v>5.5683940596672903</v>
      </c>
      <c r="J1242" s="279">
        <v>5.3920538526340698</v>
      </c>
      <c r="K1242" s="116">
        <v>5.5233474914367404</v>
      </c>
      <c r="L1242" s="2261">
        <v>4.1577698634185003</v>
      </c>
      <c r="M1242" s="916">
        <v>4.3832134113806598</v>
      </c>
      <c r="N1242" s="833">
        <v>4.2100260585959699</v>
      </c>
      <c r="O1242" s="1197">
        <v>3.9105496705982601</v>
      </c>
      <c r="P1242" s="1174">
        <v>3.3151974309733299</v>
      </c>
      <c r="Q1242" s="2066">
        <v>3.7548384717077199</v>
      </c>
      <c r="R1242" s="729">
        <v>3.3910106897848502</v>
      </c>
      <c r="S1242" s="997">
        <v>3.4441954977834701</v>
      </c>
      <c r="T1242" s="1788">
        <v>3.24319626259931</v>
      </c>
    </row>
    <row r="1243" spans="1:20">
      <c r="A1243" t="s">
        <v>3810</v>
      </c>
      <c r="B1243" s="6" t="str">
        <f>HYPERLINK("http://www.ncbi.nlm.nih.gov/gene/12490", "12490")</f>
        <v>12490</v>
      </c>
      <c r="C1243" s="6" t="str">
        <f>HYPERLINK("http://www.ncbi.nlm.nih.gov/gene/947", "947")</f>
        <v>947</v>
      </c>
      <c r="D1243" t="str">
        <f>"Cd34"</f>
        <v>Cd34</v>
      </c>
      <c r="E1243" t="s">
        <v>3811</v>
      </c>
      <c r="F1243" t="s">
        <v>3815</v>
      </c>
      <c r="G1243" t="s">
        <v>3816</v>
      </c>
      <c r="H1243" s="523">
        <v>9</v>
      </c>
      <c r="I1243" s="193">
        <v>7.6841639004634201</v>
      </c>
      <c r="J1243" s="331">
        <v>7.4952655321956403</v>
      </c>
      <c r="K1243" s="94">
        <v>7.7583488618559802</v>
      </c>
      <c r="L1243" s="2082">
        <v>4.5719953703465999</v>
      </c>
      <c r="M1243" s="1122">
        <v>4.8709456719982596</v>
      </c>
      <c r="N1243" s="913">
        <v>4.8922444007574502</v>
      </c>
      <c r="O1243" s="1046">
        <v>3.68650714546063</v>
      </c>
      <c r="P1243" s="1281">
        <v>3.1067789027740398</v>
      </c>
      <c r="Q1243" s="2176">
        <v>3.50937845985335</v>
      </c>
      <c r="R1243" s="567">
        <v>3.1552412507606702</v>
      </c>
      <c r="S1243" s="1037">
        <v>3.4199632823302699</v>
      </c>
      <c r="T1243" s="684">
        <v>3.15315475703526</v>
      </c>
    </row>
    <row r="1244" spans="1:20">
      <c r="A1244" t="s">
        <v>3817</v>
      </c>
      <c r="B1244" s="6" t="str">
        <f>HYPERLINK("http://www.ncbi.nlm.nih.gov/gene/20278", "20278")</f>
        <v>20278</v>
      </c>
      <c r="C1244" s="6" t="str">
        <f>HYPERLINK("http://www.ncbi.nlm.nih.gov/gene/6340", "6340")</f>
        <v>6340</v>
      </c>
      <c r="D1244" t="str">
        <f>"Scnn1g"</f>
        <v>Scnn1g</v>
      </c>
      <c r="E1244" t="s">
        <v>3818</v>
      </c>
      <c r="F1244" t="s">
        <v>3819</v>
      </c>
      <c r="G1244" t="s">
        <v>3820</v>
      </c>
      <c r="H1244" s="523">
        <v>9</v>
      </c>
      <c r="I1244" s="216">
        <v>5.5779056500453699</v>
      </c>
      <c r="J1244" s="92">
        <v>5.59739832456897</v>
      </c>
      <c r="K1244" s="143">
        <v>5.5835546429607099</v>
      </c>
      <c r="L1244" s="1930">
        <v>4.5343951993867302</v>
      </c>
      <c r="M1244" s="626">
        <v>4.7137844722924296</v>
      </c>
      <c r="N1244" s="699">
        <v>4.3839420508865103</v>
      </c>
      <c r="O1244" s="1112">
        <v>4.4611448289925697</v>
      </c>
      <c r="P1244" s="1306">
        <v>3.9282827989006002</v>
      </c>
      <c r="Q1244" s="2496">
        <v>4.0373976343865099</v>
      </c>
      <c r="R1244" s="1181">
        <v>4.1093121411709497</v>
      </c>
      <c r="S1244" s="872">
        <v>4.0689305097394</v>
      </c>
      <c r="T1244" s="1344">
        <v>4.2178495906974796</v>
      </c>
    </row>
    <row r="1245" spans="1:20">
      <c r="A1245" t="s">
        <v>3821</v>
      </c>
      <c r="B1245" s="6" t="str">
        <f>HYPERLINK("http://www.ncbi.nlm.nih.gov/gene/94242", "94242")</f>
        <v>94242</v>
      </c>
      <c r="C1245" s="6" t="str">
        <f>HYPERLINK("http://www.ncbi.nlm.nih.gov/gene/64129", "64129")</f>
        <v>64129</v>
      </c>
      <c r="D1245" t="str">
        <f>"Tinagl1"</f>
        <v>Tinagl1</v>
      </c>
      <c r="E1245" t="s">
        <v>3822</v>
      </c>
      <c r="F1245" t="s">
        <v>3823</v>
      </c>
      <c r="H1245" s="523">
        <v>9</v>
      </c>
      <c r="I1245" s="188">
        <v>7.4499474443161802</v>
      </c>
      <c r="J1245" s="240">
        <v>7.3762786403448501</v>
      </c>
      <c r="K1245" s="222">
        <v>7.26921676035579</v>
      </c>
      <c r="L1245" s="2667">
        <v>5.8454326544697501</v>
      </c>
      <c r="M1245" s="649">
        <v>5.5542490899749097</v>
      </c>
      <c r="N1245" s="662">
        <v>5.0918275081204598</v>
      </c>
      <c r="O1245" s="1102">
        <v>5.16023195807756</v>
      </c>
      <c r="P1245" s="1367">
        <v>4.9748808682205601</v>
      </c>
      <c r="Q1245" s="2133">
        <v>5.1143807724501498</v>
      </c>
      <c r="R1245" s="992">
        <v>4.8139506883030796</v>
      </c>
      <c r="S1245" s="1040">
        <v>4.8676630302566197</v>
      </c>
      <c r="T1245" s="556">
        <v>4.9434590851974196</v>
      </c>
    </row>
    <row r="1246" spans="1:20">
      <c r="A1246" t="s">
        <v>3824</v>
      </c>
      <c r="B1246" s="6" t="str">
        <f>HYPERLINK("http://www.ncbi.nlm.nih.gov/gene/13136", "13136")</f>
        <v>13136</v>
      </c>
      <c r="C1246" s="6" t="str">
        <f>HYPERLINK("http://www.ncbi.nlm.nih.gov/gene/1604", "1604")</f>
        <v>1604</v>
      </c>
      <c r="D1246" t="str">
        <f>"Cd55"</f>
        <v>Cd55</v>
      </c>
      <c r="E1246" t="s">
        <v>3825</v>
      </c>
      <c r="F1246" t="s">
        <v>3826</v>
      </c>
      <c r="G1246" t="s">
        <v>3827</v>
      </c>
      <c r="H1246" s="523">
        <v>9</v>
      </c>
      <c r="I1246" s="137">
        <v>8.7303040489388195</v>
      </c>
      <c r="J1246" s="240">
        <v>8.8253795531081405</v>
      </c>
      <c r="K1246" s="116">
        <v>8.6710478475277704</v>
      </c>
      <c r="L1246" s="2668">
        <v>5.5498614289150003</v>
      </c>
      <c r="M1246" s="705">
        <v>4.8516749853006198</v>
      </c>
      <c r="N1246" s="1296">
        <v>5.1230746629102404</v>
      </c>
      <c r="O1246" s="1067">
        <v>3.7352653425874198</v>
      </c>
      <c r="P1246" s="1281">
        <v>3.2325752133432402</v>
      </c>
      <c r="Q1246" s="2064">
        <v>4.0054926750313902</v>
      </c>
      <c r="R1246" s="544">
        <v>3.76624936042032</v>
      </c>
      <c r="S1246" s="1029">
        <v>3.2253703521700601</v>
      </c>
      <c r="T1246" s="1310">
        <v>3.3709441635741801</v>
      </c>
    </row>
    <row r="1247" spans="1:20">
      <c r="A1247" t="s">
        <v>3828</v>
      </c>
      <c r="B1247" s="6" t="str">
        <f>HYPERLINK("http://www.ncbi.nlm.nih.gov/gene/16790", "16790")</f>
        <v>16790</v>
      </c>
      <c r="C1247" s="6" t="str">
        <f>HYPERLINK("http://www.ncbi.nlm.nih.gov/gene/290", "290")</f>
        <v>290</v>
      </c>
      <c r="D1247" t="str">
        <f>"Anpep"</f>
        <v>Anpep</v>
      </c>
      <c r="E1247" t="s">
        <v>3829</v>
      </c>
      <c r="F1247" t="s">
        <v>3830</v>
      </c>
      <c r="G1247" t="s">
        <v>3831</v>
      </c>
      <c r="H1247" s="523">
        <v>9</v>
      </c>
      <c r="I1247" s="112">
        <v>8.1705604570355401</v>
      </c>
      <c r="J1247" s="94">
        <v>8.0848064704508698</v>
      </c>
      <c r="K1247" s="264">
        <v>7.9402697878812996</v>
      </c>
      <c r="L1247" s="2159">
        <v>6.5668085776963103</v>
      </c>
      <c r="M1247" s="779">
        <v>6.5777783647641197</v>
      </c>
      <c r="N1247" s="654">
        <v>6.4475967952756204</v>
      </c>
      <c r="O1247" s="1280">
        <v>6.2480032090498101</v>
      </c>
      <c r="P1247" s="1002">
        <v>6.1006207620964004</v>
      </c>
      <c r="Q1247" s="2076">
        <v>6.2163969183330998</v>
      </c>
      <c r="R1247" s="544">
        <v>6.0939897425350198</v>
      </c>
      <c r="S1247" s="1029">
        <v>5.8804494972823296</v>
      </c>
      <c r="T1247" s="1379">
        <v>5.8047665241913702</v>
      </c>
    </row>
    <row r="1248" spans="1:20">
      <c r="A1248" t="s">
        <v>3832</v>
      </c>
      <c r="B1248" s="6" t="str">
        <f>HYPERLINK("http://www.ncbi.nlm.nih.gov/gene/20928", "20928")</f>
        <v>20928</v>
      </c>
      <c r="C1248" s="6" t="str">
        <f>HYPERLINK("http://www.ncbi.nlm.nih.gov/gene/10060", "10060")</f>
        <v>10060</v>
      </c>
      <c r="D1248" t="str">
        <f>"Abcc9"</f>
        <v>Abcc9</v>
      </c>
      <c r="E1248" t="s">
        <v>3833</v>
      </c>
      <c r="F1248" t="s">
        <v>3834</v>
      </c>
      <c r="G1248" t="s">
        <v>3835</v>
      </c>
      <c r="H1248" s="523">
        <v>9</v>
      </c>
      <c r="I1248" s="115">
        <v>7.4168439091901499</v>
      </c>
      <c r="J1248" s="77">
        <v>7.0033682173512997</v>
      </c>
      <c r="K1248" s="117">
        <v>7.3336552822435097</v>
      </c>
      <c r="L1248" s="2028">
        <v>5.5836629202071304</v>
      </c>
      <c r="M1248" s="836">
        <v>5.7586807191485399</v>
      </c>
      <c r="N1248" s="1028">
        <v>5.5020609074898497</v>
      </c>
      <c r="O1248" s="1089">
        <v>4.9567204635740403</v>
      </c>
      <c r="P1248" s="688">
        <v>4.9546306441122798</v>
      </c>
      <c r="Q1248" s="2042">
        <v>4.8302154815545801</v>
      </c>
      <c r="R1248" s="688">
        <v>4.9557862406446898</v>
      </c>
      <c r="S1248" s="1109">
        <v>4.8665878971049397</v>
      </c>
      <c r="T1248" s="545">
        <v>4.9908186729562898</v>
      </c>
    </row>
    <row r="1249" spans="1:20">
      <c r="A1249" t="s">
        <v>3836</v>
      </c>
      <c r="B1249" s="6" t="str">
        <f>HYPERLINK("http://www.ncbi.nlm.nih.gov/gene/100294583", "100294583")</f>
        <v>100294583</v>
      </c>
      <c r="C1249" s="6" t="str">
        <f>HYPERLINK("http://www.ncbi.nlm.nih.gov/gene/285016", "285016")</f>
        <v>285016</v>
      </c>
      <c r="D1249" t="str">
        <f>"Fam150b"</f>
        <v>Fam150b</v>
      </c>
      <c r="E1249" t="s">
        <v>3853</v>
      </c>
      <c r="F1249" t="s">
        <v>90</v>
      </c>
      <c r="H1249" s="523">
        <v>9</v>
      </c>
      <c r="I1249" s="143">
        <v>8.1571305519151203</v>
      </c>
      <c r="J1249" s="92">
        <v>8.1930849197268998</v>
      </c>
      <c r="K1249" s="329">
        <v>8.3719745346631402</v>
      </c>
      <c r="L1249" s="2026">
        <v>5.2273132915109199</v>
      </c>
      <c r="M1249" s="1326">
        <v>5.0091518049274502</v>
      </c>
      <c r="N1249" s="784">
        <v>5.2715398705343102</v>
      </c>
      <c r="O1249" s="1048">
        <v>3.9293666384792201</v>
      </c>
      <c r="P1249" s="662">
        <v>4.2945838485497596</v>
      </c>
      <c r="Q1249" s="2093">
        <v>4.0669229369977904</v>
      </c>
      <c r="R1249" s="1346">
        <v>4.0252734206675296</v>
      </c>
      <c r="S1249" s="864">
        <v>3.9476631291720099</v>
      </c>
      <c r="T1249" s="1809">
        <v>3.9341776380208402</v>
      </c>
    </row>
    <row r="1250" spans="1:20">
      <c r="A1250" t="s">
        <v>3854</v>
      </c>
      <c r="B1250" s="6" t="str">
        <f>HYPERLINK("http://www.ncbi.nlm.nih.gov/gene/54611", "54611")</f>
        <v>54611</v>
      </c>
      <c r="C1250" s="6" t="str">
        <f>HYPERLINK("http://www.ncbi.nlm.nih.gov/gene/5139", "5139")</f>
        <v>5139</v>
      </c>
      <c r="D1250" t="str">
        <f>"Pde3a"</f>
        <v>Pde3a</v>
      </c>
      <c r="E1250" t="s">
        <v>3855</v>
      </c>
      <c r="F1250" t="s">
        <v>3837</v>
      </c>
      <c r="G1250" t="s">
        <v>3838</v>
      </c>
      <c r="H1250" s="523">
        <v>9</v>
      </c>
      <c r="I1250" s="131">
        <v>8.7745622822701108</v>
      </c>
      <c r="J1250" s="240">
        <v>8.7248279856983206</v>
      </c>
      <c r="K1250" s="234">
        <v>8.5920699811742196</v>
      </c>
      <c r="L1250" s="2669">
        <v>6.8453458024102396</v>
      </c>
      <c r="M1250" s="833">
        <v>7.0257728503371597</v>
      </c>
      <c r="N1250" s="658">
        <v>6.90456996271209</v>
      </c>
      <c r="O1250" s="1016">
        <v>6.1248260644727504</v>
      </c>
      <c r="P1250" s="1081">
        <v>6.3088621487772798</v>
      </c>
      <c r="Q1250" s="2245">
        <v>6.3433501270998898</v>
      </c>
      <c r="R1250" s="859">
        <v>6.12425520916356</v>
      </c>
      <c r="S1250" s="641">
        <v>6.1982246732314596</v>
      </c>
      <c r="T1250" s="1310">
        <v>6.0953749471355296</v>
      </c>
    </row>
    <row r="1251" spans="1:20">
      <c r="A1251" t="s">
        <v>3839</v>
      </c>
      <c r="B1251" s="6" t="str">
        <f>HYPERLINK("http://www.ncbi.nlm.nih.gov/gene/68888", "68888")</f>
        <v>68888</v>
      </c>
      <c r="C1251" s="6" t="str">
        <f>HYPERLINK("http://www.ncbi.nlm.nih.gov/gene/", "")</f>
        <v/>
      </c>
      <c r="D1251" t="str">
        <f>"Gkn3"</f>
        <v>Gkn3</v>
      </c>
      <c r="E1251" t="s">
        <v>3840</v>
      </c>
      <c r="F1251" t="s">
        <v>3841</v>
      </c>
      <c r="H1251" s="523">
        <v>9</v>
      </c>
      <c r="I1251" s="132">
        <v>5.9715327233136</v>
      </c>
      <c r="J1251" s="137">
        <v>5.8666592107285096</v>
      </c>
      <c r="K1251" s="94">
        <v>5.93409753068185</v>
      </c>
      <c r="L1251" s="2570">
        <v>3.56444498718882</v>
      </c>
      <c r="M1251" s="743">
        <v>3.6245494992626601</v>
      </c>
      <c r="N1251" s="790">
        <v>3.5302725064248599</v>
      </c>
      <c r="O1251" s="1024">
        <v>2.76637044224297</v>
      </c>
      <c r="P1251" s="1179">
        <v>2.67298353219162</v>
      </c>
      <c r="Q1251" s="2093">
        <v>2.8268551655361098</v>
      </c>
      <c r="R1251" s="832">
        <v>3.1719425378971202</v>
      </c>
      <c r="S1251" s="992">
        <v>2.6469150445646701</v>
      </c>
      <c r="T1251" s="735">
        <v>2.8213315963439198</v>
      </c>
    </row>
    <row r="1252" spans="1:20">
      <c r="A1252" t="s">
        <v>3842</v>
      </c>
      <c r="B1252" s="6" t="str">
        <f>HYPERLINK("http://www.ncbi.nlm.nih.gov/gene/22341", "22341")</f>
        <v>22341</v>
      </c>
      <c r="C1252" s="6" t="str">
        <f>HYPERLINK("http://www.ncbi.nlm.nih.gov/gene/7424", "7424")</f>
        <v>7424</v>
      </c>
      <c r="D1252" t="str">
        <f>"Vegfc"</f>
        <v>Vegfc</v>
      </c>
      <c r="E1252" t="s">
        <v>3843</v>
      </c>
      <c r="F1252" t="s">
        <v>3844</v>
      </c>
      <c r="G1252" t="s">
        <v>3489</v>
      </c>
      <c r="H1252" s="523">
        <v>9</v>
      </c>
      <c r="I1252" s="115">
        <v>8.3643454458958999</v>
      </c>
      <c r="J1252" s="108">
        <v>8.2219027726535803</v>
      </c>
      <c r="K1252" s="208">
        <v>8.1658328552050392</v>
      </c>
      <c r="L1252" s="2236">
        <v>6.6072768291571702</v>
      </c>
      <c r="M1252" s="650">
        <v>6.7886053842037599</v>
      </c>
      <c r="N1252" s="687">
        <v>6.5832734079514701</v>
      </c>
      <c r="O1252" s="1357">
        <v>6.0433573785850898</v>
      </c>
      <c r="P1252" s="1324">
        <v>6.2409231134707799</v>
      </c>
      <c r="Q1252" s="2484">
        <v>6.2336817946461496</v>
      </c>
      <c r="R1252" s="891">
        <v>6.3151661483909596</v>
      </c>
      <c r="S1252" s="708">
        <v>6.3510818762689398</v>
      </c>
      <c r="T1252" s="574">
        <v>6.3020496760264999</v>
      </c>
    </row>
    <row r="1253" spans="1:20">
      <c r="A1253" t="s">
        <v>3845</v>
      </c>
      <c r="B1253" s="6" t="str">
        <f>HYPERLINK("http://www.ncbi.nlm.nih.gov/gene/74186", "74186")</f>
        <v>74186</v>
      </c>
      <c r="C1253" s="6" t="str">
        <f>HYPERLINK("http://www.ncbi.nlm.nih.gov/gene/83643", "83643")</f>
        <v>83643</v>
      </c>
      <c r="D1253" t="str">
        <f>"Ccdc3"</f>
        <v>Ccdc3</v>
      </c>
      <c r="E1253" t="s">
        <v>3846</v>
      </c>
      <c r="F1253" t="s">
        <v>3847</v>
      </c>
      <c r="H1253" s="523">
        <v>9</v>
      </c>
      <c r="I1253" s="108">
        <v>10.0084826881791</v>
      </c>
      <c r="J1253" s="137">
        <v>9.9786085110982903</v>
      </c>
      <c r="K1253" s="132">
        <v>10.0794579178328</v>
      </c>
      <c r="L1253" s="2560">
        <v>7.9153996770723003</v>
      </c>
      <c r="M1253" s="746">
        <v>7.8784062577732099</v>
      </c>
      <c r="N1253" s="1291">
        <v>7.4664654963120602</v>
      </c>
      <c r="O1253" s="1568">
        <v>6.8751967814992803</v>
      </c>
      <c r="P1253" s="537">
        <v>6.9929683296509699</v>
      </c>
      <c r="Q1253" s="2056">
        <v>6.82354825701771</v>
      </c>
      <c r="R1253" s="864">
        <v>6.8502710993848197</v>
      </c>
      <c r="S1253" s="1002">
        <v>7.0211162865541796</v>
      </c>
      <c r="T1253" s="556">
        <v>6.9192294299377597</v>
      </c>
    </row>
    <row r="1254" spans="1:20">
      <c r="A1254" t="s">
        <v>3848</v>
      </c>
      <c r="B1254" s="6" t="str">
        <f>HYPERLINK("http://www.ncbi.nlm.nih.gov/gene/27984", "27984")</f>
        <v>27984</v>
      </c>
      <c r="C1254" s="6" t="str">
        <f>HYPERLINK("http://www.ncbi.nlm.nih.gov/gene/79180", "79180")</f>
        <v>79180</v>
      </c>
      <c r="D1254" t="str">
        <f>"Efhd2"</f>
        <v>Efhd2</v>
      </c>
      <c r="E1254" t="s">
        <v>3849</v>
      </c>
      <c r="F1254" t="s">
        <v>3850</v>
      </c>
      <c r="H1254" s="523">
        <v>9</v>
      </c>
      <c r="I1254" s="240">
        <v>9.4219171621376692</v>
      </c>
      <c r="J1254" s="113">
        <v>9.4547309106287507</v>
      </c>
      <c r="K1254" s="94">
        <v>9.4444615077628509</v>
      </c>
      <c r="L1254" s="2028">
        <v>7.5881397919996596</v>
      </c>
      <c r="M1254" s="790">
        <v>7.48764359656926</v>
      </c>
      <c r="N1254" s="680">
        <v>7.2877669410898198</v>
      </c>
      <c r="O1254" s="1114">
        <v>7.0323500207996403</v>
      </c>
      <c r="P1254" s="537">
        <v>6.9585861486054696</v>
      </c>
      <c r="Q1254" s="2670">
        <v>6.89278804438917</v>
      </c>
      <c r="R1254" s="1179">
        <v>6.7921905234866999</v>
      </c>
      <c r="S1254" s="688">
        <v>6.9102257125435598</v>
      </c>
      <c r="T1254" s="1397">
        <v>7.0399058290929402</v>
      </c>
    </row>
    <row r="1255" spans="1:20">
      <c r="A1255" t="s">
        <v>3851</v>
      </c>
      <c r="B1255" s="6" t="str">
        <f>HYPERLINK("http://www.ncbi.nlm.nih.gov/gene/16416", "16416")</f>
        <v>16416</v>
      </c>
      <c r="C1255" s="6" t="str">
        <f>HYPERLINK("http://www.ncbi.nlm.nih.gov/gene/3690", "3690")</f>
        <v>3690</v>
      </c>
      <c r="D1255" t="str">
        <f>"Itgb3"</f>
        <v>Itgb3</v>
      </c>
      <c r="E1255" t="s">
        <v>3852</v>
      </c>
      <c r="F1255" t="s">
        <v>3856</v>
      </c>
      <c r="G1255" t="s">
        <v>3857</v>
      </c>
      <c r="H1255" s="523">
        <v>9</v>
      </c>
      <c r="I1255" s="112">
        <v>5.3131567382747704</v>
      </c>
      <c r="J1255" s="316">
        <v>5.1104223526419803</v>
      </c>
      <c r="K1255" s="186">
        <v>5.1304568782959699</v>
      </c>
      <c r="L1255" s="1927">
        <v>3.98731675390338</v>
      </c>
      <c r="M1255" s="775">
        <v>4.5186752122904501</v>
      </c>
      <c r="N1255" s="662">
        <v>3.7375652299459601</v>
      </c>
      <c r="O1255" s="1190">
        <v>3.7079864645676301</v>
      </c>
      <c r="P1255" s="1006">
        <v>3.8615823200195001</v>
      </c>
      <c r="Q1255" s="2075">
        <v>3.46552985121455</v>
      </c>
      <c r="R1255" s="688">
        <v>3.6513392019218802</v>
      </c>
      <c r="S1255" s="1181">
        <v>3.6116621214126998</v>
      </c>
      <c r="T1255" s="709">
        <v>3.6032015335380101</v>
      </c>
    </row>
    <row r="1256" spans="1:20">
      <c r="A1256" t="s">
        <v>3858</v>
      </c>
      <c r="B1256" s="6" t="str">
        <f>HYPERLINK("http://www.ncbi.nlm.nih.gov/gene/108079", "108079")</f>
        <v>108079</v>
      </c>
      <c r="C1256" s="6" t="str">
        <f>HYPERLINK("http://www.ncbi.nlm.nih.gov/gene/5563", "5563")</f>
        <v>5563</v>
      </c>
      <c r="D1256" t="str">
        <f>"Prkaa2"</f>
        <v>Prkaa2</v>
      </c>
      <c r="E1256" t="s">
        <v>3859</v>
      </c>
      <c r="F1256" t="s">
        <v>3860</v>
      </c>
      <c r="G1256" t="s">
        <v>3861</v>
      </c>
      <c r="H1256" s="523">
        <v>9</v>
      </c>
      <c r="I1256" s="113">
        <v>7.2399139417686698</v>
      </c>
      <c r="J1256" s="108">
        <v>7.18544309573769</v>
      </c>
      <c r="K1256" s="186">
        <v>7.0511220829369599</v>
      </c>
      <c r="L1256" s="2261">
        <v>5.5611116641432004</v>
      </c>
      <c r="M1256" s="658">
        <v>5.4979368485945503</v>
      </c>
      <c r="N1256" s="1251">
        <v>5.6935473837908503</v>
      </c>
      <c r="O1256" s="1086">
        <v>4.67847331444964</v>
      </c>
      <c r="P1256" s="1346">
        <v>4.8390175509102598</v>
      </c>
      <c r="Q1256" s="2056">
        <v>4.7836920067378204</v>
      </c>
      <c r="R1256" s="1336">
        <v>4.6356803668425597</v>
      </c>
      <c r="S1256" s="560">
        <v>5.1858786104111498</v>
      </c>
      <c r="T1256" s="1573">
        <v>4.7778958453103098</v>
      </c>
    </row>
    <row r="1257" spans="1:20">
      <c r="A1257" t="s">
        <v>3862</v>
      </c>
      <c r="B1257" s="6" t="str">
        <f>HYPERLINK("http://www.ncbi.nlm.nih.gov/gene/106877", "106877")</f>
        <v>106877</v>
      </c>
      <c r="C1257" s="6" t="str">
        <f>HYPERLINK("http://www.ncbi.nlm.nih.gov/gene/134265", "134265")</f>
        <v>134265</v>
      </c>
      <c r="D1257" t="str">
        <f>"Afap1l1"</f>
        <v>Afap1l1</v>
      </c>
      <c r="E1257" t="s">
        <v>3863</v>
      </c>
      <c r="F1257" t="s">
        <v>3864</v>
      </c>
      <c r="H1257" s="523">
        <v>9</v>
      </c>
      <c r="I1257" s="102">
        <v>6.3187736539087096</v>
      </c>
      <c r="J1257" s="183">
        <v>5.9560361808271098</v>
      </c>
      <c r="K1257" s="188">
        <v>6.49257444481053</v>
      </c>
      <c r="L1257" s="2671">
        <v>4.9662072768542398</v>
      </c>
      <c r="M1257" s="796">
        <v>5.0255390607036103</v>
      </c>
      <c r="N1257" s="920">
        <v>4.8508926840537301</v>
      </c>
      <c r="O1257" s="1091">
        <v>3.8973310691293199</v>
      </c>
      <c r="P1257" s="1174">
        <v>3.6331456171207601</v>
      </c>
      <c r="Q1257" s="2045">
        <v>3.5396015642263499</v>
      </c>
      <c r="R1257" s="993">
        <v>3.8607089831172101</v>
      </c>
      <c r="S1257" s="708">
        <v>4.0966736286960996</v>
      </c>
      <c r="T1257" s="877">
        <v>3.8831123802336802</v>
      </c>
    </row>
    <row r="1258" spans="1:20">
      <c r="A1258" t="s">
        <v>3865</v>
      </c>
      <c r="B1258" s="6" t="str">
        <f>HYPERLINK("http://www.ncbi.nlm.nih.gov/gene/67080", "67080")</f>
        <v>67080</v>
      </c>
      <c r="C1258" s="6" t="str">
        <f>HYPERLINK("http://www.ncbi.nlm.nih.gov/gene/84281", "84281")</f>
        <v>84281</v>
      </c>
      <c r="D1258" t="str">
        <f>"1700019D03Rik"</f>
        <v>1700019D03Rik</v>
      </c>
      <c r="E1258" t="s">
        <v>3866</v>
      </c>
      <c r="F1258" t="s">
        <v>90</v>
      </c>
      <c r="H1258" s="523">
        <v>9</v>
      </c>
      <c r="I1258" s="196">
        <v>6.76413725152221</v>
      </c>
      <c r="J1258" s="254">
        <v>6.5626880526900102</v>
      </c>
      <c r="K1258" s="196">
        <v>6.7610768348041796</v>
      </c>
      <c r="L1258" s="2567">
        <v>5.6370053340669104</v>
      </c>
      <c r="M1258" s="1297">
        <v>5.5742512835155296</v>
      </c>
      <c r="N1258" s="1454">
        <v>5.7157584197223503</v>
      </c>
      <c r="O1258" s="1810">
        <v>4.4926838492881203</v>
      </c>
      <c r="P1258" s="1167">
        <v>4.5260897505816002</v>
      </c>
      <c r="Q1258" s="2074">
        <v>4.6872742071551503</v>
      </c>
      <c r="R1258" s="1223">
        <v>4.8382072277239603</v>
      </c>
      <c r="S1258" s="583">
        <v>4.9575876055959904</v>
      </c>
      <c r="T1258" s="1421">
        <v>4.7064504502240796</v>
      </c>
    </row>
    <row r="1259" spans="1:20">
      <c r="A1259" t="s">
        <v>3867</v>
      </c>
      <c r="B1259" s="6" t="str">
        <f>HYPERLINK("http://www.ncbi.nlm.nih.gov/gene/14118", "14118")</f>
        <v>14118</v>
      </c>
      <c r="C1259" s="6" t="str">
        <f>HYPERLINK("http://www.ncbi.nlm.nih.gov/gene/2200", "2200")</f>
        <v>2200</v>
      </c>
      <c r="D1259" t="str">
        <f>"Fbn1"</f>
        <v>Fbn1</v>
      </c>
      <c r="E1259" t="s">
        <v>3868</v>
      </c>
      <c r="F1259" t="s">
        <v>3869</v>
      </c>
      <c r="H1259" s="523">
        <v>9</v>
      </c>
      <c r="I1259" s="124">
        <v>9.8563907190549394</v>
      </c>
      <c r="J1259" s="234">
        <v>9.7631958463985704</v>
      </c>
      <c r="K1259" s="316">
        <v>9.6917519117242392</v>
      </c>
      <c r="L1259" s="1967">
        <v>8.5404745741108492</v>
      </c>
      <c r="M1259" s="751">
        <v>8.4038833729205304</v>
      </c>
      <c r="N1259" s="805">
        <v>8.4937935594185596</v>
      </c>
      <c r="O1259" s="1009">
        <v>7.4344277467370796</v>
      </c>
      <c r="P1259" s="578">
        <v>7.4329503992209096</v>
      </c>
      <c r="Q1259" s="2427">
        <v>7.5710473274593104</v>
      </c>
      <c r="R1259" s="659">
        <v>7.8505485224403602</v>
      </c>
      <c r="S1259" s="993">
        <v>7.5921454428971797</v>
      </c>
      <c r="T1259" s="1754">
        <v>7.5355689670396497</v>
      </c>
    </row>
    <row r="1260" spans="1:20">
      <c r="A1260" t="s">
        <v>3870</v>
      </c>
      <c r="B1260" s="6" t="str">
        <f>HYPERLINK("http://www.ncbi.nlm.nih.gov/gene/17389", "17389")</f>
        <v>17389</v>
      </c>
      <c r="C1260" s="6" t="str">
        <f>HYPERLINK("http://www.ncbi.nlm.nih.gov/gene/4325", "4325")</f>
        <v>4325</v>
      </c>
      <c r="D1260" t="str">
        <f>"Mmp16"</f>
        <v>Mmp16</v>
      </c>
      <c r="E1260" t="s">
        <v>3871</v>
      </c>
      <c r="F1260" t="s">
        <v>3872</v>
      </c>
      <c r="H1260" s="523">
        <v>9</v>
      </c>
      <c r="I1260" s="108">
        <v>8.1782230601349202</v>
      </c>
      <c r="J1260" s="196">
        <v>8.1362323501212899</v>
      </c>
      <c r="K1260" s="103">
        <v>8.04067957274059</v>
      </c>
      <c r="L1260" s="2614">
        <v>7.0769962627500096</v>
      </c>
      <c r="M1260" s="1254">
        <v>6.9791594306100997</v>
      </c>
      <c r="N1260" s="916">
        <v>7.1643840144605297</v>
      </c>
      <c r="O1260" s="1051">
        <v>6.5753572613103</v>
      </c>
      <c r="P1260" s="641">
        <v>6.4336834297268197</v>
      </c>
      <c r="Q1260" s="2121">
        <v>6.7011106978211297</v>
      </c>
      <c r="R1260" s="1439">
        <v>6.2585903367811904</v>
      </c>
      <c r="S1260" s="1193">
        <v>6.2965759523206701</v>
      </c>
      <c r="T1260" s="1606">
        <v>6.1648167628418999</v>
      </c>
    </row>
    <row r="1261" spans="1:20">
      <c r="A1261" t="s">
        <v>3873</v>
      </c>
      <c r="B1261" s="6" t="str">
        <f>HYPERLINK("http://www.ncbi.nlm.nih.gov/gene/100093700", "100093700")</f>
        <v>100093700</v>
      </c>
      <c r="C1261" s="6" t="str">
        <f>HYPERLINK("http://www.ncbi.nlm.nih.gov/gene/", "")</f>
        <v/>
      </c>
      <c r="D1261" t="str">
        <f>"Gm10400"</f>
        <v>Gm10400</v>
      </c>
      <c r="E1261" t="s">
        <v>3874</v>
      </c>
      <c r="H1261" s="523">
        <v>9</v>
      </c>
      <c r="I1261" s="118">
        <v>6.73882205732132</v>
      </c>
      <c r="J1261" s="119">
        <v>6.3497699131366696</v>
      </c>
      <c r="K1261" s="267">
        <v>6.6527346729023797</v>
      </c>
      <c r="L1261" s="1965">
        <v>4.2693924474768998</v>
      </c>
      <c r="M1261" s="672">
        <v>4.2526219997205503</v>
      </c>
      <c r="N1261" s="1251">
        <v>4.4932494808676902</v>
      </c>
      <c r="O1261" s="1067">
        <v>3.3799561514682601</v>
      </c>
      <c r="P1261" s="1181">
        <v>3.2501072318137001</v>
      </c>
      <c r="Q1261" s="2257">
        <v>3.9813218709835798</v>
      </c>
      <c r="R1261" s="1147">
        <v>2.7270960003018998</v>
      </c>
      <c r="S1261" s="1040">
        <v>3.2081208239592098</v>
      </c>
      <c r="T1261" s="1311">
        <v>3.07926014021962</v>
      </c>
    </row>
    <row r="1262" spans="1:20">
      <c r="A1262" t="s">
        <v>3875</v>
      </c>
      <c r="B1262" s="6" t="str">
        <f>HYPERLINK("http://www.ncbi.nlm.nih.gov/gene/68659", "68659")</f>
        <v>68659</v>
      </c>
      <c r="C1262" s="6" t="str">
        <f>HYPERLINK("http://www.ncbi.nlm.nih.gov/gene/51313", "51313")</f>
        <v>51313</v>
      </c>
      <c r="D1262" t="str">
        <f>"Fam198b"</f>
        <v>Fam198b</v>
      </c>
      <c r="E1262" t="s">
        <v>3876</v>
      </c>
      <c r="F1262" t="s">
        <v>3877</v>
      </c>
      <c r="H1262" s="523">
        <v>9</v>
      </c>
      <c r="I1262" s="234">
        <v>7.3129240363842696</v>
      </c>
      <c r="J1262" s="196">
        <v>7.3486667903623903</v>
      </c>
      <c r="K1262" s="85">
        <v>7.1878403449052701</v>
      </c>
      <c r="L1262" s="2672">
        <v>5.9158912890553896</v>
      </c>
      <c r="M1262" s="805">
        <v>5.9938361213320999</v>
      </c>
      <c r="N1262" s="887">
        <v>6.1965922230870802</v>
      </c>
      <c r="O1262" s="1348">
        <v>5.2894469362395702</v>
      </c>
      <c r="P1262" s="622">
        <v>5.2474022718367301</v>
      </c>
      <c r="Q1262" s="2081">
        <v>5.1998591499038902</v>
      </c>
      <c r="R1262" s="1017">
        <v>4.6819835738427003</v>
      </c>
      <c r="S1262" s="1167">
        <v>4.8102375892031697</v>
      </c>
      <c r="T1262" s="893">
        <v>4.9555915881091801</v>
      </c>
    </row>
    <row r="1263" spans="1:20">
      <c r="A1263" t="s">
        <v>3878</v>
      </c>
      <c r="B1263" s="6" t="str">
        <f>HYPERLINK("http://www.ncbi.nlm.nih.gov/gene/14234", "14234")</f>
        <v>14234</v>
      </c>
      <c r="C1263" s="6" t="str">
        <f>HYPERLINK("http://www.ncbi.nlm.nih.gov/gene/2303", "2303")</f>
        <v>2303</v>
      </c>
      <c r="D1263" t="str">
        <f>"Foxc2"</f>
        <v>Foxc2</v>
      </c>
      <c r="E1263" t="s">
        <v>3879</v>
      </c>
      <c r="F1263" t="s">
        <v>3880</v>
      </c>
      <c r="H1263" s="523">
        <v>9</v>
      </c>
      <c r="I1263" s="118">
        <v>8.1824094270863306</v>
      </c>
      <c r="J1263" s="161">
        <v>7.7931780618064499</v>
      </c>
      <c r="K1263" s="279">
        <v>7.8322740882383197</v>
      </c>
      <c r="L1263" s="1964">
        <v>6.2218373260133903</v>
      </c>
      <c r="M1263" s="778">
        <v>6.1287505292116604</v>
      </c>
      <c r="N1263" s="1297">
        <v>6.1925455315544102</v>
      </c>
      <c r="O1263" s="996">
        <v>5.4040886331795299</v>
      </c>
      <c r="P1263" s="554">
        <v>5.2429456525555196</v>
      </c>
      <c r="Q1263" s="2076">
        <v>5.2635203926812899</v>
      </c>
      <c r="R1263" s="703">
        <v>4.5241718337375696</v>
      </c>
      <c r="S1263" s="1148">
        <v>4.2845348949546702</v>
      </c>
      <c r="T1263" s="1379">
        <v>4.6293806949222898</v>
      </c>
    </row>
    <row r="1264" spans="1:20">
      <c r="A1264" t="s">
        <v>3881</v>
      </c>
      <c r="B1264" s="6" t="str">
        <f>HYPERLINK("http://www.ncbi.nlm.nih.gov/gene/13592", "13592")</f>
        <v>13592</v>
      </c>
      <c r="C1264" s="6" t="str">
        <f>HYPERLINK("http://www.ncbi.nlm.nih.gov/gene/64641", "64641")</f>
        <v>64641</v>
      </c>
      <c r="D1264" t="str">
        <f>"Ebf2"</f>
        <v>Ebf2</v>
      </c>
      <c r="E1264" t="s">
        <v>3882</v>
      </c>
      <c r="F1264" t="s">
        <v>3126</v>
      </c>
      <c r="H1264" s="523">
        <v>9</v>
      </c>
      <c r="I1264" s="132">
        <v>7.3252227857482</v>
      </c>
      <c r="J1264" s="161">
        <v>6.9495203376121797</v>
      </c>
      <c r="K1264" s="193">
        <v>7.2333756156036797</v>
      </c>
      <c r="L1264" s="1917">
        <v>5.0842051853258603</v>
      </c>
      <c r="M1264" s="800">
        <v>5.4524941071222202</v>
      </c>
      <c r="N1264" s="784">
        <v>5.0707612245157296</v>
      </c>
      <c r="O1264" s="1036">
        <v>4.4544020744169401</v>
      </c>
      <c r="P1264" s="851">
        <v>4.3964255725098198</v>
      </c>
      <c r="Q1264" s="2038">
        <v>4.2163829792668297</v>
      </c>
      <c r="R1264" s="729">
        <v>3.9088640012628502</v>
      </c>
      <c r="S1264" s="722">
        <v>3.6519003176531601</v>
      </c>
      <c r="T1264" s="1311">
        <v>3.9548011469789501</v>
      </c>
    </row>
    <row r="1265" spans="1:20">
      <c r="A1265" t="s">
        <v>3883</v>
      </c>
      <c r="B1265" s="6" t="str">
        <f>HYPERLINK("http://www.ncbi.nlm.nih.gov/gene/15360", "15360")</f>
        <v>15360</v>
      </c>
      <c r="C1265" s="6" t="str">
        <f>HYPERLINK("http://www.ncbi.nlm.nih.gov/gene/3158", "3158")</f>
        <v>3158</v>
      </c>
      <c r="D1265" t="str">
        <f>"Hmgcs2"</f>
        <v>Hmgcs2</v>
      </c>
      <c r="E1265" t="s">
        <v>3884</v>
      </c>
      <c r="F1265" t="s">
        <v>3885</v>
      </c>
      <c r="G1265" t="s">
        <v>3886</v>
      </c>
      <c r="H1265" s="523">
        <v>9</v>
      </c>
      <c r="I1265" s="115">
        <v>6.3289227113663102</v>
      </c>
      <c r="J1265" s="166">
        <v>6.02678563482828</v>
      </c>
      <c r="K1265" s="191">
        <v>5.9908460874760197</v>
      </c>
      <c r="L1265" s="2667">
        <v>4.6247182873526702</v>
      </c>
      <c r="M1265" s="1401">
        <v>4.5647283492985196</v>
      </c>
      <c r="N1265" s="743">
        <v>4.3475856806615498</v>
      </c>
      <c r="O1265" s="1067">
        <v>3.73991750509445</v>
      </c>
      <c r="P1265" s="538">
        <v>3.8475268678208399</v>
      </c>
      <c r="Q1265" s="2315">
        <v>3.67912174513924</v>
      </c>
      <c r="R1265" s="1332">
        <v>3.4837073692584899</v>
      </c>
      <c r="S1265" s="1179">
        <v>3.5888276713008098</v>
      </c>
      <c r="T1265" s="1363">
        <v>3.4720120976550599</v>
      </c>
    </row>
    <row r="1266" spans="1:20">
      <c r="A1266" t="s">
        <v>3887</v>
      </c>
      <c r="B1266" s="6" t="str">
        <f>HYPERLINK("http://www.ncbi.nlm.nih.gov/gene/382018", "382018")</f>
        <v>382018</v>
      </c>
      <c r="C1266" s="6" t="str">
        <f>HYPERLINK("http://www.ncbi.nlm.nih.gov/gene/23025", "23025")</f>
        <v>23025</v>
      </c>
      <c r="D1266" t="str">
        <f>"Unc13a"</f>
        <v>Unc13a</v>
      </c>
      <c r="E1266" t="s">
        <v>3888</v>
      </c>
      <c r="F1266" t="s">
        <v>3889</v>
      </c>
      <c r="H1266" s="523">
        <v>9</v>
      </c>
      <c r="I1266" s="174">
        <v>6.1737922103216203</v>
      </c>
      <c r="J1266" s="102">
        <v>6.40118134566407</v>
      </c>
      <c r="K1266" s="240">
        <v>6.487137925132</v>
      </c>
      <c r="L1266" s="2026">
        <v>5.0080680942719003</v>
      </c>
      <c r="M1266" s="658">
        <v>4.9928168996197604</v>
      </c>
      <c r="N1266" s="528">
        <v>5.0172461596650697</v>
      </c>
      <c r="O1266" s="1094">
        <v>4.8453926947136896</v>
      </c>
      <c r="P1266" s="694">
        <v>4.8563887954935403</v>
      </c>
      <c r="Q1266" s="2279">
        <v>5.0870854297067503</v>
      </c>
      <c r="R1266" s="1308">
        <v>4.1845915467174297</v>
      </c>
      <c r="S1266" s="1147">
        <v>4.0841736467788197</v>
      </c>
      <c r="T1266" s="1811">
        <v>3.79871428547838</v>
      </c>
    </row>
    <row r="1267" spans="1:20">
      <c r="A1267" t="s">
        <v>3890</v>
      </c>
      <c r="B1267" s="6" t="str">
        <f>HYPERLINK("http://www.ncbi.nlm.nih.gov/gene/66725", "66725")</f>
        <v>66725</v>
      </c>
      <c r="C1267" s="6" t="str">
        <f>HYPERLINK("http://www.ncbi.nlm.nih.gov/gene/120892", "120892")</f>
        <v>120892</v>
      </c>
      <c r="D1267" t="str">
        <f>"Lrrk2"</f>
        <v>Lrrk2</v>
      </c>
      <c r="E1267" t="s">
        <v>3891</v>
      </c>
      <c r="F1267" t="s">
        <v>3892</v>
      </c>
      <c r="G1267" t="s">
        <v>193</v>
      </c>
      <c r="H1267" s="523">
        <v>9</v>
      </c>
      <c r="I1267" s="113">
        <v>6.1179196918532801</v>
      </c>
      <c r="J1267" s="258">
        <v>5.80105203042186</v>
      </c>
      <c r="K1267" s="115">
        <v>6.2028067445082904</v>
      </c>
      <c r="L1267" s="2132">
        <v>4.6929863153994704</v>
      </c>
      <c r="M1267" s="649">
        <v>4.8334446711077899</v>
      </c>
      <c r="N1267" s="805">
        <v>5.0492397601836796</v>
      </c>
      <c r="O1267" s="1034">
        <v>4.6392985186054698</v>
      </c>
      <c r="P1267" s="892">
        <v>4.6621299302272403</v>
      </c>
      <c r="Q1267" s="2170">
        <v>4.7097185607141299</v>
      </c>
      <c r="R1267" s="872">
        <v>4.3284306831200299</v>
      </c>
      <c r="S1267" s="1025">
        <v>4.0275776127853504</v>
      </c>
      <c r="T1267" s="870">
        <v>4.18074189088395</v>
      </c>
    </row>
    <row r="1268" spans="1:20">
      <c r="A1268" t="s">
        <v>3893</v>
      </c>
      <c r="B1268" s="6" t="str">
        <f>HYPERLINK("http://www.ncbi.nlm.nih.gov/gene/21814", "21814")</f>
        <v>21814</v>
      </c>
      <c r="C1268" s="6" t="str">
        <f>HYPERLINK("http://www.ncbi.nlm.nih.gov/gene/7049", "7049")</f>
        <v>7049</v>
      </c>
      <c r="D1268" t="str">
        <f>"Tgfbr3"</f>
        <v>Tgfbr3</v>
      </c>
      <c r="E1268" t="s">
        <v>3894</v>
      </c>
      <c r="F1268" t="s">
        <v>3895</v>
      </c>
      <c r="H1268" s="523">
        <v>9</v>
      </c>
      <c r="I1268" s="331">
        <v>6.3369626228828002</v>
      </c>
      <c r="J1268" s="268">
        <v>6.0013489518018304</v>
      </c>
      <c r="K1268" s="240">
        <v>6.4862103881685496</v>
      </c>
      <c r="L1268" s="2667">
        <v>4.9183192153363899</v>
      </c>
      <c r="M1268" s="720">
        <v>4.81824111266282</v>
      </c>
      <c r="N1268" s="1454">
        <v>5.1171295404358901</v>
      </c>
      <c r="O1268" s="1190">
        <v>4.0953131138482997</v>
      </c>
      <c r="P1268" s="695">
        <v>4.5150514470902001</v>
      </c>
      <c r="Q1268" s="2077">
        <v>4.3986866465323402</v>
      </c>
      <c r="R1268" s="1193">
        <v>3.75967436413955</v>
      </c>
      <c r="S1268" s="1017">
        <v>3.5050223373024401</v>
      </c>
      <c r="T1268" s="1794">
        <v>3.2790322234112299</v>
      </c>
    </row>
    <row r="1269" spans="1:20">
      <c r="A1269" t="s">
        <v>3896</v>
      </c>
      <c r="B1269" s="6" t="str">
        <f>HYPERLINK("http://www.ncbi.nlm.nih.gov/gene/11600", "11600")</f>
        <v>11600</v>
      </c>
      <c r="C1269" s="6" t="str">
        <f>HYPERLINK("http://www.ncbi.nlm.nih.gov/gene/284", "284")</f>
        <v>284</v>
      </c>
      <c r="D1269" t="str">
        <f>"Angpt1"</f>
        <v>Angpt1</v>
      </c>
      <c r="E1269" t="s">
        <v>3897</v>
      </c>
      <c r="F1269" t="s">
        <v>3898</v>
      </c>
      <c r="G1269" t="s">
        <v>3913</v>
      </c>
      <c r="H1269" s="523">
        <v>9</v>
      </c>
      <c r="I1269" s="201">
        <v>8.0391376862588402</v>
      </c>
      <c r="J1269" s="279">
        <v>7.9685243033627202</v>
      </c>
      <c r="K1269" s="483">
        <v>7.9290517957176201</v>
      </c>
      <c r="L1269" s="2673">
        <v>7.0280538011906497</v>
      </c>
      <c r="M1269" s="788">
        <v>6.9262007549513998</v>
      </c>
      <c r="N1269" s="720">
        <v>6.7822426146989798</v>
      </c>
      <c r="O1269" s="1117">
        <v>6.2781327156182902</v>
      </c>
      <c r="P1269" s="669">
        <v>6.35845076381898</v>
      </c>
      <c r="Q1269" s="2674">
        <v>6.6223606812500604</v>
      </c>
      <c r="R1269" s="1144">
        <v>5.4743522587978797</v>
      </c>
      <c r="S1269" s="1337">
        <v>5.8378138349515796</v>
      </c>
      <c r="T1269" s="1753">
        <v>5.7251695765819601</v>
      </c>
    </row>
    <row r="1270" spans="1:20">
      <c r="A1270" t="s">
        <v>3914</v>
      </c>
      <c r="B1270" s="6" t="str">
        <f>HYPERLINK("http://www.ncbi.nlm.nih.gov/gene/20449", "20449")</f>
        <v>20449</v>
      </c>
      <c r="C1270" s="6" t="str">
        <f>HYPERLINK("http://www.ncbi.nlm.nih.gov/gene/6489", "6489")</f>
        <v>6489</v>
      </c>
      <c r="D1270" t="str">
        <f>"St8sia1"</f>
        <v>St8sia1</v>
      </c>
      <c r="E1270" t="s">
        <v>3915</v>
      </c>
      <c r="F1270" t="s">
        <v>3899</v>
      </c>
      <c r="G1270" t="s">
        <v>3900</v>
      </c>
      <c r="H1270" s="523">
        <v>9</v>
      </c>
      <c r="I1270" s="216">
        <v>6.4256390622276003</v>
      </c>
      <c r="J1270" s="103">
        <v>6.2757249751353896</v>
      </c>
      <c r="K1270" s="137">
        <v>6.44090613870432</v>
      </c>
      <c r="L1270" s="2570">
        <v>4.7161859803913497</v>
      </c>
      <c r="M1270" s="845">
        <v>5.1215105980485296</v>
      </c>
      <c r="N1270" s="790">
        <v>4.6831243221218397</v>
      </c>
      <c r="O1270" s="1097">
        <v>4.5630389720042404</v>
      </c>
      <c r="P1270" s="583">
        <v>4.3240487268421504</v>
      </c>
      <c r="Q1270" s="2223">
        <v>4.6266397620328901</v>
      </c>
      <c r="R1270" s="1317">
        <v>3.51372979071534</v>
      </c>
      <c r="S1270" s="567">
        <v>4.00081490607639</v>
      </c>
      <c r="T1270" s="1338">
        <v>3.8430186485417299</v>
      </c>
    </row>
    <row r="1271" spans="1:20">
      <c r="A1271" t="s">
        <v>3901</v>
      </c>
      <c r="B1271" s="6" t="str">
        <f>HYPERLINK("http://www.ncbi.nlm.nih.gov/gene/12839", "12839")</f>
        <v>12839</v>
      </c>
      <c r="C1271" s="6" t="str">
        <f>HYPERLINK("http://www.ncbi.nlm.nih.gov/gene/1297", "1297")</f>
        <v>1297</v>
      </c>
      <c r="D1271" t="str">
        <f>"Col9a1"</f>
        <v>Col9a1</v>
      </c>
      <c r="E1271" t="s">
        <v>3902</v>
      </c>
      <c r="F1271" t="s">
        <v>3903</v>
      </c>
      <c r="G1271" t="s">
        <v>563</v>
      </c>
      <c r="H1271" s="523">
        <v>9</v>
      </c>
      <c r="I1271" s="137">
        <v>9.9189625808365101</v>
      </c>
      <c r="J1271" s="107">
        <v>9.9668020485479492</v>
      </c>
      <c r="K1271" s="264">
        <v>9.7896577798930906</v>
      </c>
      <c r="L1271" s="2159">
        <v>7.8563761939844197</v>
      </c>
      <c r="M1271" s="720">
        <v>8.0721749938202496</v>
      </c>
      <c r="N1271" s="690">
        <v>8.0036905927485602</v>
      </c>
      <c r="O1271" s="989">
        <v>7.4504655131559501</v>
      </c>
      <c r="P1271" s="669">
        <v>7.4754203516687499</v>
      </c>
      <c r="Q1271" s="2404">
        <v>7.4778474770847003</v>
      </c>
      <c r="R1271" s="1017">
        <v>6.5762904220262</v>
      </c>
      <c r="S1271" s="1342">
        <v>6.7516553717123102</v>
      </c>
      <c r="T1271" s="860">
        <v>6.8908720513728898</v>
      </c>
    </row>
    <row r="1272" spans="1:20">
      <c r="A1272" t="s">
        <v>3904</v>
      </c>
      <c r="B1272" s="6" t="str">
        <f>HYPERLINK("http://www.ncbi.nlm.nih.gov/gene/353156", "353156")</f>
        <v>353156</v>
      </c>
      <c r="C1272" s="6" t="str">
        <f>HYPERLINK("http://www.ncbi.nlm.nih.gov/gene/51162", "51162")</f>
        <v>51162</v>
      </c>
      <c r="D1272" t="str">
        <f>"Egfl7"</f>
        <v>Egfl7</v>
      </c>
      <c r="E1272" t="s">
        <v>3905</v>
      </c>
      <c r="F1272" t="s">
        <v>3906</v>
      </c>
      <c r="H1272" s="523">
        <v>9</v>
      </c>
      <c r="I1272" s="271">
        <v>6.4737815603150697</v>
      </c>
      <c r="J1272" s="193">
        <v>6.6991803007124098</v>
      </c>
      <c r="K1272" s="143">
        <v>6.6777703835774096</v>
      </c>
      <c r="L1272" s="2017">
        <v>5.4727727557146899</v>
      </c>
      <c r="M1272" s="1401">
        <v>5.55788928643417</v>
      </c>
      <c r="N1272" s="1215">
        <v>5.3339437033557404</v>
      </c>
      <c r="O1272" s="1093">
        <v>5.24048061052736</v>
      </c>
      <c r="P1272" s="1028">
        <v>5.3571713903094498</v>
      </c>
      <c r="Q1272" s="2103">
        <v>5.3177325780706299</v>
      </c>
      <c r="R1272" s="1150">
        <v>4.4069159136235596</v>
      </c>
      <c r="S1272" s="1306">
        <v>4.6748973959203504</v>
      </c>
      <c r="T1272" s="1303">
        <v>4.6909628732689397</v>
      </c>
    </row>
    <row r="1273" spans="1:20">
      <c r="A1273" t="s">
        <v>3907</v>
      </c>
      <c r="B1273" s="6" t="str">
        <f>HYPERLINK("http://www.ncbi.nlm.nih.gov/gene/20315", "20315")</f>
        <v>20315</v>
      </c>
      <c r="C1273" s="6" t="str">
        <f>HYPERLINK("http://www.ncbi.nlm.nih.gov/gene/6387", "6387")</f>
        <v>6387</v>
      </c>
      <c r="D1273" t="str">
        <f>"Cxcl12"</f>
        <v>Cxcl12</v>
      </c>
      <c r="E1273" t="s">
        <v>3908</v>
      </c>
      <c r="F1273" t="s">
        <v>3909</v>
      </c>
      <c r="G1273" t="s">
        <v>3910</v>
      </c>
      <c r="H1273" s="523">
        <v>9</v>
      </c>
      <c r="I1273" s="103">
        <v>10.108891748128601</v>
      </c>
      <c r="J1273" s="186">
        <v>10.1711783462806</v>
      </c>
      <c r="K1273" s="234">
        <v>10.2204824778104</v>
      </c>
      <c r="L1273" s="2013">
        <v>8.4356153484611003</v>
      </c>
      <c r="M1273" s="1100">
        <v>8.4834016603556197</v>
      </c>
      <c r="N1273" s="746">
        <v>8.3651950878565593</v>
      </c>
      <c r="O1273" s="1277">
        <v>8.0321087531385</v>
      </c>
      <c r="P1273" s="1215">
        <v>8.1437543175734692</v>
      </c>
      <c r="Q1273" s="2325">
        <v>8.1484119603792493</v>
      </c>
      <c r="R1273" s="1594">
        <v>6.6928573955033404</v>
      </c>
      <c r="S1273" s="1591">
        <v>6.9762457994472804</v>
      </c>
      <c r="T1273" s="1771">
        <v>6.9517319278819896</v>
      </c>
    </row>
    <row r="1274" spans="1:20">
      <c r="A1274" t="s">
        <v>3911</v>
      </c>
      <c r="B1274" s="6" t="str">
        <f>HYPERLINK("http://www.ncbi.nlm.nih.gov/gene/22411", "22411")</f>
        <v>22411</v>
      </c>
      <c r="C1274" s="6" t="str">
        <f>HYPERLINK("http://www.ncbi.nlm.nih.gov/gene/7481", "7481")</f>
        <v>7481</v>
      </c>
      <c r="D1274" t="str">
        <f>"Wnt11"</f>
        <v>Wnt11</v>
      </c>
      <c r="E1274" t="s">
        <v>3912</v>
      </c>
      <c r="F1274" t="s">
        <v>3916</v>
      </c>
      <c r="G1274" t="s">
        <v>252</v>
      </c>
      <c r="H1274" s="523">
        <v>9</v>
      </c>
      <c r="I1274" s="234">
        <v>7.4169475969645902</v>
      </c>
      <c r="J1274" s="264">
        <v>7.3855229250248904</v>
      </c>
      <c r="K1274" s="124">
        <v>7.4892954912051399</v>
      </c>
      <c r="L1274" s="2605">
        <v>6.34868238497556</v>
      </c>
      <c r="M1274" s="750">
        <v>6.4435026638230104</v>
      </c>
      <c r="N1274" s="627">
        <v>6.0728946685758096</v>
      </c>
      <c r="O1274" s="1032">
        <v>6.20163100466615</v>
      </c>
      <c r="P1274" s="627">
        <v>6.0704905552638397</v>
      </c>
      <c r="Q1274" s="2104">
        <v>5.9492783136062002</v>
      </c>
      <c r="R1274" s="1167">
        <v>5.5746493205109298</v>
      </c>
      <c r="S1274" s="1138">
        <v>5.4127864062702402</v>
      </c>
      <c r="T1274" s="1333">
        <v>5.6745561191755396</v>
      </c>
    </row>
    <row r="1275" spans="1:20">
      <c r="A1275" t="s">
        <v>3926</v>
      </c>
      <c r="B1275" s="6" t="str">
        <f>HYPERLINK("http://www.ncbi.nlm.nih.gov/gene/16956", "16956")</f>
        <v>16956</v>
      </c>
      <c r="C1275" s="6" t="str">
        <f>HYPERLINK("http://www.ncbi.nlm.nih.gov/gene/4023", "4023")</f>
        <v>4023</v>
      </c>
      <c r="D1275" t="str">
        <f>"Lpl"</f>
        <v>Lpl</v>
      </c>
      <c r="E1275" t="s">
        <v>3917</v>
      </c>
      <c r="F1275" t="s">
        <v>3918</v>
      </c>
      <c r="G1275" t="s">
        <v>3919</v>
      </c>
      <c r="H1275" s="523">
        <v>9</v>
      </c>
      <c r="I1275" s="103">
        <v>6.1307797487546596</v>
      </c>
      <c r="J1275" s="208">
        <v>6.2447542557755504</v>
      </c>
      <c r="K1275" s="483">
        <v>6.0878293224825697</v>
      </c>
      <c r="L1275" s="1923">
        <v>4.77432790989634</v>
      </c>
      <c r="M1275" s="758">
        <v>5.3496794775777001</v>
      </c>
      <c r="N1275" s="1254">
        <v>4.8975390537969004</v>
      </c>
      <c r="O1275" s="1131">
        <v>4.9310517057417496</v>
      </c>
      <c r="P1275" s="1006">
        <v>4.5610786842867004</v>
      </c>
      <c r="Q1275" s="2245">
        <v>4.38778637708511</v>
      </c>
      <c r="R1275" s="1321">
        <v>3.8907476989315</v>
      </c>
      <c r="S1275" s="1556">
        <v>3.8181577392883801</v>
      </c>
      <c r="T1275" s="1378">
        <v>3.9984998914564298</v>
      </c>
    </row>
    <row r="1276" spans="1:20">
      <c r="A1276" t="s">
        <v>3920</v>
      </c>
      <c r="B1276" s="6" t="str">
        <f>HYPERLINK("http://www.ncbi.nlm.nih.gov/gene/11601", "11601")</f>
        <v>11601</v>
      </c>
      <c r="C1276" s="6" t="str">
        <f>HYPERLINK("http://www.ncbi.nlm.nih.gov/gene/285", "285")</f>
        <v>285</v>
      </c>
      <c r="D1276" t="str">
        <f>"Angpt2"</f>
        <v>Angpt2</v>
      </c>
      <c r="E1276" t="s">
        <v>3921</v>
      </c>
      <c r="F1276" t="s">
        <v>3922</v>
      </c>
      <c r="H1276" s="523">
        <v>9</v>
      </c>
      <c r="I1276" s="371">
        <v>8.5129081151176909</v>
      </c>
      <c r="J1276" s="161">
        <v>8.5826093941383306</v>
      </c>
      <c r="K1276" s="183">
        <v>8.3254266903550995</v>
      </c>
      <c r="L1276" s="2675">
        <v>7.5876655283414296</v>
      </c>
      <c r="M1276" s="961">
        <v>7.5139613289006801</v>
      </c>
      <c r="N1276" s="827">
        <v>7.2727520621373101</v>
      </c>
      <c r="O1276" s="1012">
        <v>5.7148983194289702</v>
      </c>
      <c r="P1276" s="1308">
        <v>5.2150350298716202</v>
      </c>
      <c r="Q1276" s="2332">
        <v>5.1979436608049401</v>
      </c>
      <c r="R1276" s="1332">
        <v>5.3421814783767001</v>
      </c>
      <c r="S1276" s="729">
        <v>5.3574928105084396</v>
      </c>
      <c r="T1276" s="1341">
        <v>5.3216848350555201</v>
      </c>
    </row>
    <row r="1277" spans="1:20">
      <c r="A1277" t="s">
        <v>3923</v>
      </c>
      <c r="B1277" s="6" t="str">
        <f>HYPERLINK("http://www.ncbi.nlm.nih.gov/gene/24063", "24063")</f>
        <v>24063</v>
      </c>
      <c r="C1277" s="6" t="str">
        <f>HYPERLINK("http://www.ncbi.nlm.nih.gov/gene/10252", "10252")</f>
        <v>10252</v>
      </c>
      <c r="D1277" t="str">
        <f>"Spry1"</f>
        <v>Spry1</v>
      </c>
      <c r="E1277" t="s">
        <v>3924</v>
      </c>
      <c r="F1277" t="s">
        <v>3925</v>
      </c>
      <c r="G1277" t="s">
        <v>3956</v>
      </c>
      <c r="H1277" s="523">
        <v>9</v>
      </c>
      <c r="I1277" s="271">
        <v>8.8747456833658394</v>
      </c>
      <c r="J1277" s="86">
        <v>8.7986262617436406</v>
      </c>
      <c r="K1277" s="77">
        <v>8.9447315215716898</v>
      </c>
      <c r="L1277" s="2549">
        <v>7.6036924988769803</v>
      </c>
      <c r="M1277" s="946">
        <v>7.7256135244468496</v>
      </c>
      <c r="N1277" s="928">
        <v>7.5728457669203104</v>
      </c>
      <c r="O1277" s="1024">
        <v>5.3311551004318201</v>
      </c>
      <c r="P1277" s="1302">
        <v>4.9869719567347</v>
      </c>
      <c r="Q1277" s="2477">
        <v>5.1103475799917799</v>
      </c>
      <c r="R1277" s="1174">
        <v>4.9009051614824504</v>
      </c>
      <c r="S1277" s="1332">
        <v>5.0283190729962</v>
      </c>
      <c r="T1277" s="873">
        <v>4.91997526927143</v>
      </c>
    </row>
    <row r="1278" spans="1:20">
      <c r="A1278" t="s">
        <v>3957</v>
      </c>
      <c r="B1278" s="6" t="str">
        <f>HYPERLINK("http://www.ncbi.nlm.nih.gov/gene/15446", "15446")</f>
        <v>15446</v>
      </c>
      <c r="C1278" s="6" t="str">
        <f>HYPERLINK("http://www.ncbi.nlm.nih.gov/gene/3248", "3248")</f>
        <v>3248</v>
      </c>
      <c r="D1278" t="str">
        <f>"Hpgd"</f>
        <v>Hpgd</v>
      </c>
      <c r="E1278" t="s">
        <v>3958</v>
      </c>
      <c r="F1278" t="s">
        <v>3927</v>
      </c>
      <c r="H1278" s="523">
        <v>9</v>
      </c>
      <c r="I1278" s="86">
        <v>9.4011728690243395</v>
      </c>
      <c r="J1278" s="457">
        <v>9.4650202644862098</v>
      </c>
      <c r="K1278" s="85">
        <v>9.6601523103389599</v>
      </c>
      <c r="L1278" s="2582">
        <v>7.9816052210280901</v>
      </c>
      <c r="M1278" s="1485">
        <v>7.9884998039006101</v>
      </c>
      <c r="N1278" s="924">
        <v>8.1638514373349693</v>
      </c>
      <c r="O1278" s="1499">
        <v>5.3897612912286501</v>
      </c>
      <c r="P1278" s="992">
        <v>5.3031910003564402</v>
      </c>
      <c r="Q1278" s="2052">
        <v>5.16440207777302</v>
      </c>
      <c r="R1278" s="1323">
        <v>4.7542025100393301</v>
      </c>
      <c r="S1278" s="729">
        <v>5.1489354982666198</v>
      </c>
      <c r="T1278" s="1311">
        <v>5.2182983067129198</v>
      </c>
    </row>
    <row r="1279" spans="1:20">
      <c r="A1279" t="s">
        <v>3928</v>
      </c>
      <c r="B1279" s="6" t="str">
        <f>HYPERLINK("http://www.ncbi.nlm.nih.gov/gene/100039596", "100039596")</f>
        <v>100039596</v>
      </c>
      <c r="C1279" s="6" t="str">
        <f>HYPERLINK("http://www.ncbi.nlm.nih.gov/gene/100129654", "100129654")</f>
        <v>100129654</v>
      </c>
      <c r="D1279" t="str">
        <f>"Tcf24"</f>
        <v>Tcf24</v>
      </c>
      <c r="E1279" t="s">
        <v>3929</v>
      </c>
      <c r="F1279" t="s">
        <v>90</v>
      </c>
      <c r="H1279" s="523">
        <v>9</v>
      </c>
      <c r="I1279" s="470">
        <v>10.121021399455699</v>
      </c>
      <c r="J1279" s="470">
        <v>10.125464933358</v>
      </c>
      <c r="K1279" s="291">
        <v>10.301586228664901</v>
      </c>
      <c r="L1279" s="2184">
        <v>8.7854921299719706</v>
      </c>
      <c r="M1279" s="844">
        <v>8.7792444503556393</v>
      </c>
      <c r="N1279" s="862">
        <v>8.5346968308355091</v>
      </c>
      <c r="O1279" s="1598">
        <v>4.0388532695266104</v>
      </c>
      <c r="P1279" s="1439">
        <v>3.5304444887157702</v>
      </c>
      <c r="Q1279" s="2327">
        <v>4.2230549874768304</v>
      </c>
      <c r="R1279" s="987">
        <v>3.4274865073666501</v>
      </c>
      <c r="S1279" s="1448">
        <v>3.0077433811139702</v>
      </c>
      <c r="T1279" s="1310">
        <v>4.0023310653378497</v>
      </c>
    </row>
    <row r="1280" spans="1:20">
      <c r="A1280" t="s">
        <v>3930</v>
      </c>
      <c r="B1280" s="6" t="str">
        <f>HYPERLINK("http://www.ncbi.nlm.nih.gov/gene/100038398", "100038398")</f>
        <v>100038398</v>
      </c>
      <c r="C1280" s="6" t="str">
        <f>HYPERLINK("http://www.ncbi.nlm.nih.gov/gene/", "")</f>
        <v/>
      </c>
      <c r="D1280" t="str">
        <f>"Gm10567"</f>
        <v>Gm10567</v>
      </c>
      <c r="E1280" t="s">
        <v>3931</v>
      </c>
      <c r="H1280" s="523">
        <v>9</v>
      </c>
      <c r="I1280" s="241">
        <v>9.4992630154416897</v>
      </c>
      <c r="J1280" s="291">
        <v>9.4761011393139807</v>
      </c>
      <c r="K1280" s="291">
        <v>9.4890959947037405</v>
      </c>
      <c r="L1280" s="1993">
        <v>7.9190792627412696</v>
      </c>
      <c r="M1280" s="951">
        <v>7.7411603639806996</v>
      </c>
      <c r="N1280" s="961">
        <v>7.58790751795721</v>
      </c>
      <c r="O1280" s="1005">
        <v>3.2225747936319999</v>
      </c>
      <c r="P1280" s="1188">
        <v>2.9792773843651998</v>
      </c>
      <c r="Q1280" s="2074">
        <v>3.20887950124057</v>
      </c>
      <c r="R1280" s="1188">
        <v>2.96513164677464</v>
      </c>
      <c r="S1280" s="1167">
        <v>2.60462790507877</v>
      </c>
      <c r="T1280" s="1376">
        <v>2.9011701437174402</v>
      </c>
    </row>
    <row r="1281" spans="1:20">
      <c r="A1281" t="s">
        <v>3932</v>
      </c>
      <c r="B1281" s="6" t="str">
        <f>HYPERLINK("http://www.ncbi.nlm.nih.gov/gene/18719", "18719")</f>
        <v>18719</v>
      </c>
      <c r="C1281" s="6" t="str">
        <f>HYPERLINK("http://www.ncbi.nlm.nih.gov/gene/8395", "8395")</f>
        <v>8395</v>
      </c>
      <c r="D1281" t="str">
        <f>"Pip5k1b"</f>
        <v>Pip5k1b</v>
      </c>
      <c r="E1281" t="s">
        <v>3933</v>
      </c>
      <c r="F1281" t="s">
        <v>3934</v>
      </c>
      <c r="G1281" t="s">
        <v>3935</v>
      </c>
      <c r="H1281" s="523">
        <v>9</v>
      </c>
      <c r="I1281" s="222">
        <v>6.9788835197208101</v>
      </c>
      <c r="J1281" s="153">
        <v>6.4918579850917597</v>
      </c>
      <c r="K1281" s="240">
        <v>7.0884856840971402</v>
      </c>
      <c r="L1281" s="2676">
        <v>5.6046921911394403</v>
      </c>
      <c r="M1281" s="1271">
        <v>5.5999332459548397</v>
      </c>
      <c r="N1281" s="806">
        <v>5.80093741812101</v>
      </c>
      <c r="O1281" s="991">
        <v>4.4263534709732504</v>
      </c>
      <c r="P1281" s="573">
        <v>4.5221304526478701</v>
      </c>
      <c r="Q1281" s="2245">
        <v>4.61141058978684</v>
      </c>
      <c r="R1281" s="863">
        <v>3.9599512148686302</v>
      </c>
      <c r="S1281" s="997">
        <v>4.3374780654884901</v>
      </c>
      <c r="T1281" s="1338">
        <v>4.1421500702511604</v>
      </c>
    </row>
    <row r="1282" spans="1:20">
      <c r="A1282" t="s">
        <v>3936</v>
      </c>
      <c r="B1282" s="6" t="str">
        <f>HYPERLINK("http://www.ncbi.nlm.nih.gov/gene/94227", "94227")</f>
        <v>94227</v>
      </c>
      <c r="C1282" s="6" t="str">
        <f>HYPERLINK("http://www.ncbi.nlm.nih.gov/gene/51050", "51050")</f>
        <v>51050</v>
      </c>
      <c r="D1282" t="str">
        <f>"Pi15"</f>
        <v>Pi15</v>
      </c>
      <c r="E1282" t="s">
        <v>3937</v>
      </c>
      <c r="F1282" t="s">
        <v>3938</v>
      </c>
      <c r="H1282" s="523">
        <v>9</v>
      </c>
      <c r="I1282" s="161">
        <v>6.8404908454652196</v>
      </c>
      <c r="J1282" s="280">
        <v>6.7657395018366104</v>
      </c>
      <c r="K1282" s="77">
        <v>6.7846849055946699</v>
      </c>
      <c r="L1282" s="2671">
        <v>4.8364797788382496</v>
      </c>
      <c r="M1282" s="974">
        <v>5.6060320934207999</v>
      </c>
      <c r="N1282" s="820">
        <v>5.12955696922646</v>
      </c>
      <c r="O1282" s="1176">
        <v>2.8276248205244499</v>
      </c>
      <c r="P1282" s="622">
        <v>3.30647863679707</v>
      </c>
      <c r="Q1282" s="2073">
        <v>3.3653981575577099</v>
      </c>
      <c r="R1282" s="1327">
        <v>2.2319547580151502</v>
      </c>
      <c r="S1282" s="1289">
        <v>2.65514247169477</v>
      </c>
      <c r="T1282" s="1750">
        <v>2.4789948946948699</v>
      </c>
    </row>
    <row r="1283" spans="1:20">
      <c r="A1283" t="s">
        <v>3939</v>
      </c>
      <c r="B1283" s="6" t="str">
        <f>HYPERLINK("http://www.ncbi.nlm.nih.gov/gene/20564", "20564")</f>
        <v>20564</v>
      </c>
      <c r="C1283" s="6" t="str">
        <f>HYPERLINK("http://www.ncbi.nlm.nih.gov/gene/6586", "6586")</f>
        <v>6586</v>
      </c>
      <c r="D1283" t="str">
        <f>"Slit3"</f>
        <v>Slit3</v>
      </c>
      <c r="E1283" t="s">
        <v>3940</v>
      </c>
      <c r="F1283" t="s">
        <v>3949</v>
      </c>
      <c r="G1283" t="s">
        <v>604</v>
      </c>
      <c r="H1283" s="523">
        <v>9</v>
      </c>
      <c r="I1283" s="174">
        <v>8.8723064349571992</v>
      </c>
      <c r="J1283" s="394">
        <v>8.6749689170950095</v>
      </c>
      <c r="K1283" s="358">
        <v>8.7061252665004201</v>
      </c>
      <c r="L1283" s="2673">
        <v>7.6666344554436803</v>
      </c>
      <c r="M1283" s="966">
        <v>7.69689300377261</v>
      </c>
      <c r="N1283" s="778">
        <v>7.4032871033185597</v>
      </c>
      <c r="O1283" s="1129">
        <v>7.3945677233094003</v>
      </c>
      <c r="P1283" s="836">
        <v>7.3572644561971403</v>
      </c>
      <c r="Q1283" s="2085">
        <v>7.3454708828169801</v>
      </c>
      <c r="R1283" s="1445">
        <v>5.4163667509898197</v>
      </c>
      <c r="S1283" s="1169">
        <v>5.2698851243973897</v>
      </c>
      <c r="T1283" s="1812">
        <v>5.2733134189052304</v>
      </c>
    </row>
    <row r="1284" spans="1:20">
      <c r="A1284" t="s">
        <v>3950</v>
      </c>
      <c r="B1284" s="6" t="str">
        <f>HYPERLINK("http://www.ncbi.nlm.nih.gov/gene/67260", "67260")</f>
        <v>67260</v>
      </c>
      <c r="C1284" s="6" t="str">
        <f>HYPERLINK("http://www.ncbi.nlm.nih.gov/gene/79603", "79603")</f>
        <v>79603</v>
      </c>
      <c r="D1284" t="str">
        <f>"Lass4"</f>
        <v>Lass4</v>
      </c>
      <c r="E1284" t="s">
        <v>3951</v>
      </c>
      <c r="F1284" t="s">
        <v>715</v>
      </c>
      <c r="H1284" s="523">
        <v>9</v>
      </c>
      <c r="I1284" s="291">
        <v>7.83215600035268</v>
      </c>
      <c r="J1284" s="313">
        <v>7.8956802872990801</v>
      </c>
      <c r="K1284" s="346">
        <v>7.7179348199953903</v>
      </c>
      <c r="L1284" s="2572">
        <v>6.8808436883405699</v>
      </c>
      <c r="M1284" s="732">
        <v>6.8491945113011701</v>
      </c>
      <c r="N1284" s="1226">
        <v>6.6073675987098497</v>
      </c>
      <c r="O1284" s="1118">
        <v>6.7200910599623702</v>
      </c>
      <c r="P1284" s="854">
        <v>6.4438422695692799</v>
      </c>
      <c r="Q1284" s="2677">
        <v>6.7875974258786398</v>
      </c>
      <c r="R1284" s="1286">
        <v>5.1338501540111796</v>
      </c>
      <c r="S1284" s="1664">
        <v>5.0628435415753303</v>
      </c>
      <c r="T1284" s="1813">
        <v>5.0209224284315503</v>
      </c>
    </row>
    <row r="1285" spans="1:20">
      <c r="A1285" t="s">
        <v>3952</v>
      </c>
      <c r="B1285" s="6" t="str">
        <f>HYPERLINK("http://www.ncbi.nlm.nih.gov/gene/71704", "71704")</f>
        <v>71704</v>
      </c>
      <c r="C1285" s="6" t="str">
        <f>HYPERLINK("http://www.ncbi.nlm.nih.gov/gene/50650", "50650")</f>
        <v>50650</v>
      </c>
      <c r="D1285" t="str">
        <f>"Arhgef3"</f>
        <v>Arhgef3</v>
      </c>
      <c r="E1285" t="s">
        <v>3953</v>
      </c>
      <c r="F1285" t="s">
        <v>3369</v>
      </c>
      <c r="H1285" s="523">
        <v>9</v>
      </c>
      <c r="I1285" s="261">
        <v>7.1801156027602202</v>
      </c>
      <c r="J1285" s="441">
        <v>7.2897184270641997</v>
      </c>
      <c r="K1285" s="346">
        <v>7.26347547446366</v>
      </c>
      <c r="L1285" s="2024">
        <v>6.7027308709268301</v>
      </c>
      <c r="M1285" s="887">
        <v>6.5592279042573702</v>
      </c>
      <c r="N1285" s="827">
        <v>6.6281457472616001</v>
      </c>
      <c r="O1285" s="1124">
        <v>6.2890992134334702</v>
      </c>
      <c r="P1285" s="700">
        <v>6.0676654893272497</v>
      </c>
      <c r="Q1285" s="2114">
        <v>6.3260108930654599</v>
      </c>
      <c r="R1285" s="1729">
        <v>4.7536768450086502</v>
      </c>
      <c r="S1285" s="1671">
        <v>4.8248793077182297</v>
      </c>
      <c r="T1285" s="1814">
        <v>4.8394253753707597</v>
      </c>
    </row>
    <row r="1286" spans="1:20">
      <c r="A1286" t="s">
        <v>3954</v>
      </c>
      <c r="B1286" s="6" t="str">
        <f>HYPERLINK("http://www.ncbi.nlm.nih.gov/gene/241226", "241226")</f>
        <v>241226</v>
      </c>
      <c r="C1286" s="6" t="str">
        <f>HYPERLINK("http://www.ncbi.nlm.nih.gov/gene/8516", "8516")</f>
        <v>8516</v>
      </c>
      <c r="D1286" t="str">
        <f>"Itga8"</f>
        <v>Itga8</v>
      </c>
      <c r="E1286" t="s">
        <v>3955</v>
      </c>
      <c r="F1286" t="s">
        <v>3963</v>
      </c>
      <c r="G1286" t="s">
        <v>3941</v>
      </c>
      <c r="H1286" s="523">
        <v>9</v>
      </c>
      <c r="I1286" s="153">
        <v>8.2753385300584998</v>
      </c>
      <c r="J1286" s="379">
        <v>8.2014780796280995</v>
      </c>
      <c r="K1286" s="379">
        <v>8.2010571868662794</v>
      </c>
      <c r="L1286" s="2566">
        <v>7.7988207550256101</v>
      </c>
      <c r="M1286" s="1485">
        <v>7.8473739297937204</v>
      </c>
      <c r="N1286" s="887">
        <v>7.7318849892083401</v>
      </c>
      <c r="O1286" s="965">
        <v>7.5739271444540703</v>
      </c>
      <c r="P1286" s="781">
        <v>7.46507177123293</v>
      </c>
      <c r="Q1286" s="2086">
        <v>7.5917400075416896</v>
      </c>
      <c r="R1286" s="1651">
        <v>6.2005337937411804</v>
      </c>
      <c r="S1286" s="1643">
        <v>6.27211956247955</v>
      </c>
      <c r="T1286" s="1786">
        <v>6.3388437647272902</v>
      </c>
    </row>
    <row r="1287" spans="1:20">
      <c r="A1287" t="s">
        <v>3942</v>
      </c>
      <c r="B1287" s="6" t="str">
        <f>HYPERLINK("http://www.ncbi.nlm.nih.gov/gene/19039", "19039")</f>
        <v>19039</v>
      </c>
      <c r="C1287" s="6" t="str">
        <f>HYPERLINK("http://www.ncbi.nlm.nih.gov/gene/3959", "3959")</f>
        <v>3959</v>
      </c>
      <c r="D1287" t="str">
        <f>"Lgals3bp"</f>
        <v>Lgals3bp</v>
      </c>
      <c r="E1287" t="s">
        <v>3943</v>
      </c>
      <c r="F1287" t="s">
        <v>3944</v>
      </c>
      <c r="H1287" s="523">
        <v>9</v>
      </c>
      <c r="I1287" s="291">
        <v>6.9885793743389604</v>
      </c>
      <c r="J1287" s="448">
        <v>6.7325444777730103</v>
      </c>
      <c r="K1287" s="261">
        <v>6.8038513747722096</v>
      </c>
      <c r="L1287" s="2540">
        <v>6.4024354269879398</v>
      </c>
      <c r="M1287" s="939">
        <v>6.1528116056147004</v>
      </c>
      <c r="N1287" s="778">
        <v>6.0053595576895802</v>
      </c>
      <c r="O1287" s="1118">
        <v>6.0270019080447996</v>
      </c>
      <c r="P1287" s="805">
        <v>6.0413465498220402</v>
      </c>
      <c r="Q1287" s="2208">
        <v>6.0723747750615402</v>
      </c>
      <c r="R1287" s="1433">
        <v>4.4523604067395004</v>
      </c>
      <c r="S1287" s="1691">
        <v>4.7580670128488496</v>
      </c>
      <c r="T1287" s="1815">
        <v>4.4191087598958001</v>
      </c>
    </row>
    <row r="1288" spans="1:20">
      <c r="A1288" t="s">
        <v>3945</v>
      </c>
      <c r="B1288" s="6" t="str">
        <f>HYPERLINK("http://www.ncbi.nlm.nih.gov/gene/66835", "66835")</f>
        <v>66835</v>
      </c>
      <c r="C1288" s="6" t="str">
        <f>HYPERLINK("http://www.ncbi.nlm.nih.gov/gene/", "")</f>
        <v/>
      </c>
      <c r="D1288" t="str">
        <f>"Snord123"</f>
        <v>Snord123</v>
      </c>
      <c r="E1288" t="s">
        <v>3946</v>
      </c>
      <c r="H1288" s="523">
        <v>9</v>
      </c>
      <c r="I1288" s="369">
        <v>5.8936573916647701</v>
      </c>
      <c r="J1288" s="380">
        <v>5.8252631496907998</v>
      </c>
      <c r="K1288" s="316">
        <v>6.2861739533812102</v>
      </c>
      <c r="L1288" s="2678">
        <v>5.5013947045331699</v>
      </c>
      <c r="M1288" s="827">
        <v>5.5484270528135102</v>
      </c>
      <c r="N1288" s="901">
        <v>5.6212972422750402</v>
      </c>
      <c r="O1288" s="1314">
        <v>5.4394573707154796</v>
      </c>
      <c r="P1288" s="1122">
        <v>5.2709498011520797</v>
      </c>
      <c r="Q1288" s="2254">
        <v>5.0549752967070596</v>
      </c>
      <c r="R1288" s="1150">
        <v>4.17448026104063</v>
      </c>
      <c r="S1288" s="1564">
        <v>4.1580416707786698</v>
      </c>
      <c r="T1288" s="1816">
        <v>3.99078779268519</v>
      </c>
    </row>
    <row r="1289" spans="1:20">
      <c r="A1289" t="s">
        <v>3947</v>
      </c>
      <c r="B1289" s="6" t="str">
        <f>HYPERLINK("http://www.ncbi.nlm.nih.gov/gene/18573", "18573")</f>
        <v>18573</v>
      </c>
      <c r="C1289" s="6" t="str">
        <f>HYPERLINK("http://www.ncbi.nlm.nih.gov/gene/5136", "5136")</f>
        <v>5136</v>
      </c>
      <c r="D1289" t="str">
        <f>"Pde1a"</f>
        <v>Pde1a</v>
      </c>
      <c r="E1289" t="s">
        <v>3948</v>
      </c>
      <c r="F1289" t="s">
        <v>3959</v>
      </c>
      <c r="G1289" t="s">
        <v>3960</v>
      </c>
      <c r="H1289" s="523">
        <v>9</v>
      </c>
      <c r="I1289" s="264">
        <v>6.8009788336874202</v>
      </c>
      <c r="J1289" s="498">
        <v>6.3111808032969003</v>
      </c>
      <c r="K1289" s="475">
        <v>6.5425172658641904</v>
      </c>
      <c r="L1289" s="2597">
        <v>5.2665565183455998</v>
      </c>
      <c r="M1289" s="887">
        <v>5.3338526075610098</v>
      </c>
      <c r="N1289" s="942">
        <v>4.9896171184328502</v>
      </c>
      <c r="O1289" s="1112">
        <v>4.5642494473417798</v>
      </c>
      <c r="P1289" s="1254">
        <v>4.8167161027068497</v>
      </c>
      <c r="Q1289" s="2258">
        <v>4.6665459924445303</v>
      </c>
      <c r="R1289" s="1169">
        <v>2.7824656678806101</v>
      </c>
      <c r="S1289" s="1447">
        <v>3.1792487197100101</v>
      </c>
      <c r="T1289" s="1817">
        <v>2.96740956171138</v>
      </c>
    </row>
    <row r="1290" spans="1:20">
      <c r="A1290" t="s">
        <v>3961</v>
      </c>
      <c r="B1290" s="6" t="str">
        <f>HYPERLINK("http://www.ncbi.nlm.nih.gov/gene/17300", "17300")</f>
        <v>17300</v>
      </c>
      <c r="C1290" s="6" t="str">
        <f>HYPERLINK("http://www.ncbi.nlm.nih.gov/gene/2296", "2296")</f>
        <v>2296</v>
      </c>
      <c r="D1290" t="str">
        <f>"Foxc1"</f>
        <v>Foxc1</v>
      </c>
      <c r="E1290" t="s">
        <v>3962</v>
      </c>
      <c r="F1290" t="s">
        <v>3964</v>
      </c>
      <c r="H1290" s="523">
        <v>9</v>
      </c>
      <c r="I1290" s="271">
        <v>9.2527555195750608</v>
      </c>
      <c r="J1290" s="470">
        <v>9.0872491076428599</v>
      </c>
      <c r="K1290" s="371">
        <v>9.2888553456362999</v>
      </c>
      <c r="L1290" s="2177">
        <v>7.8421857436007203</v>
      </c>
      <c r="M1290" s="820">
        <v>8.0518833957180593</v>
      </c>
      <c r="N1290" s="1267">
        <v>7.9097415237024702</v>
      </c>
      <c r="O1290" s="1112">
        <v>7.2002068270770003</v>
      </c>
      <c r="P1290" s="528">
        <v>7.4054762548861603</v>
      </c>
      <c r="Q1290" s="2223">
        <v>7.1574532596175802</v>
      </c>
      <c r="R1290" s="1643">
        <v>5.3594000975262404</v>
      </c>
      <c r="S1290" s="1017">
        <v>5.8781071285076996</v>
      </c>
      <c r="T1290" s="1818">
        <v>5.5033101487320799</v>
      </c>
    </row>
    <row r="1291" spans="1:20">
      <c r="A1291" t="s">
        <v>3965</v>
      </c>
      <c r="B1291" s="6" t="str">
        <f>HYPERLINK("http://www.ncbi.nlm.nih.gov/gene/330096", "330096")</f>
        <v>330096</v>
      </c>
      <c r="C1291" s="6" t="str">
        <f>HYPERLINK("http://www.ncbi.nlm.nih.gov/gene/152573", "152573")</f>
        <v>152573</v>
      </c>
      <c r="D1291" t="str">
        <f>"Shisa3"</f>
        <v>Shisa3</v>
      </c>
      <c r="E1291" t="s">
        <v>3966</v>
      </c>
      <c r="F1291" t="s">
        <v>3212</v>
      </c>
      <c r="H1291" s="523">
        <v>9</v>
      </c>
      <c r="I1291" s="470">
        <v>8.5065624094568708</v>
      </c>
      <c r="J1291" s="358">
        <v>8.4344953348967096</v>
      </c>
      <c r="K1291" s="470">
        <v>8.5073963298628694</v>
      </c>
      <c r="L1291" s="1995">
        <v>7.4722182051169197</v>
      </c>
      <c r="M1291" s="875">
        <v>7.5521415478353902</v>
      </c>
      <c r="N1291" s="956">
        <v>7.6570430766484296</v>
      </c>
      <c r="O1291" s="1628">
        <v>6.7871601182622099</v>
      </c>
      <c r="P1291" s="694">
        <v>6.5394025559263804</v>
      </c>
      <c r="Q1291" s="2253">
        <v>6.5991186696855904</v>
      </c>
      <c r="R1291" s="1701">
        <v>4.6554008310393398</v>
      </c>
      <c r="S1291" s="1445">
        <v>4.9061829009165896</v>
      </c>
      <c r="T1291" s="1763">
        <v>5.0822040065190803</v>
      </c>
    </row>
    <row r="1292" spans="1:20">
      <c r="A1292" t="s">
        <v>3967</v>
      </c>
      <c r="B1292" s="6" t="str">
        <f>HYPERLINK("http://www.ncbi.nlm.nih.gov/gene/20266", "20266")</f>
        <v>20266</v>
      </c>
      <c r="C1292" s="6" t="str">
        <f>HYPERLINK("http://www.ncbi.nlm.nih.gov/gene/6324", "6324")</f>
        <v>6324</v>
      </c>
      <c r="D1292" t="str">
        <f>"Scn1b"</f>
        <v>Scn1b</v>
      </c>
      <c r="E1292" t="s">
        <v>3968</v>
      </c>
      <c r="F1292" t="s">
        <v>3969</v>
      </c>
      <c r="H1292" s="523">
        <v>9</v>
      </c>
      <c r="I1292" s="271">
        <v>7.5108598304701797</v>
      </c>
      <c r="J1292" s="145">
        <v>7.36044140736744</v>
      </c>
      <c r="K1292" s="78">
        <v>7.4083861868752896</v>
      </c>
      <c r="L1292" s="2582">
        <v>6.5339260957077601</v>
      </c>
      <c r="M1292" s="775">
        <v>6.58255570327497</v>
      </c>
      <c r="N1292" s="887">
        <v>6.3353849277237799</v>
      </c>
      <c r="O1292" s="1351">
        <v>5.2417527117843798</v>
      </c>
      <c r="P1292" s="654">
        <v>5.5456490812335604</v>
      </c>
      <c r="Q1292" s="2062">
        <v>5.4992538398241999</v>
      </c>
      <c r="R1292" s="1327">
        <v>4.3408514085418801</v>
      </c>
      <c r="S1292" s="1286">
        <v>4.0916662854012902</v>
      </c>
      <c r="T1292" s="1758">
        <v>4.0716768325965802</v>
      </c>
    </row>
    <row r="1293" spans="1:20">
      <c r="A1293" t="s">
        <v>3970</v>
      </c>
      <c r="B1293" s="6" t="str">
        <f>HYPERLINK("http://www.ncbi.nlm.nih.gov/gene/217430", "217430")</f>
        <v>217430</v>
      </c>
      <c r="C1293" s="6" t="str">
        <f>HYPERLINK("http://www.ncbi.nlm.nih.gov/gene/130814", "130814")</f>
        <v>130814</v>
      </c>
      <c r="D1293" t="str">
        <f>"Pqlc3"</f>
        <v>Pqlc3</v>
      </c>
      <c r="E1293" t="s">
        <v>3971</v>
      </c>
      <c r="F1293" t="s">
        <v>37</v>
      </c>
      <c r="H1293" s="523">
        <v>9</v>
      </c>
      <c r="I1293" s="484">
        <v>7.6778819933698603</v>
      </c>
      <c r="J1293" s="484">
        <v>7.67264089310315</v>
      </c>
      <c r="K1293" s="355">
        <v>7.6122081831198098</v>
      </c>
      <c r="L1293" s="2679">
        <v>7.33676752955963</v>
      </c>
      <c r="M1293" s="926">
        <v>7.3650103911747298</v>
      </c>
      <c r="N1293" s="771">
        <v>7.1263542022027897</v>
      </c>
      <c r="O1293" s="1080">
        <v>4.8909123770106602</v>
      </c>
      <c r="P1293" s="669">
        <v>5.2754942055784904</v>
      </c>
      <c r="Q1293" s="2173">
        <v>4.9764388641725299</v>
      </c>
      <c r="R1293" s="1317">
        <v>3.78552750694559</v>
      </c>
      <c r="S1293" s="1167">
        <v>4.2935957446571704</v>
      </c>
      <c r="T1293" s="1819">
        <v>3.8081417816230299</v>
      </c>
    </row>
    <row r="1294" spans="1:20">
      <c r="A1294" t="s">
        <v>3972</v>
      </c>
      <c r="B1294" s="6" t="str">
        <f>HYPERLINK("http://www.ncbi.nlm.nih.gov/gene/245527", "245527")</f>
        <v>245527</v>
      </c>
      <c r="C1294" s="6" t="str">
        <f>HYPERLINK("http://www.ncbi.nlm.nih.gov/gene/60401", "60401")</f>
        <v>60401</v>
      </c>
      <c r="D1294" t="str">
        <f>"Eda2r"</f>
        <v>Eda2r</v>
      </c>
      <c r="E1294" t="s">
        <v>3973</v>
      </c>
      <c r="F1294" t="s">
        <v>3974</v>
      </c>
      <c r="G1294" t="s">
        <v>239</v>
      </c>
      <c r="H1294" s="523">
        <v>9</v>
      </c>
      <c r="I1294" s="379">
        <v>8.1834634745945891</v>
      </c>
      <c r="J1294" s="67">
        <v>8.3039517889251293</v>
      </c>
      <c r="K1294" s="395">
        <v>8.0376464061841109</v>
      </c>
      <c r="L1294" s="2519">
        <v>8.0669489766181695</v>
      </c>
      <c r="M1294" s="1475">
        <v>7.9724672472730296</v>
      </c>
      <c r="N1294" s="931">
        <v>8.0246726836006292</v>
      </c>
      <c r="O1294" s="1396">
        <v>6.5145898777732398</v>
      </c>
      <c r="P1294" s="699">
        <v>6.6160605167943798</v>
      </c>
      <c r="Q1294" s="2076">
        <v>6.38347524887189</v>
      </c>
      <c r="R1294" s="1144">
        <v>5.2813192408792897</v>
      </c>
      <c r="S1294" s="1017">
        <v>5.6060855102754701</v>
      </c>
      <c r="T1294" s="1818">
        <v>5.2800033662222301</v>
      </c>
    </row>
    <row r="1295" spans="1:20">
      <c r="A1295" t="s">
        <v>3975</v>
      </c>
      <c r="B1295" s="6" t="str">
        <f>HYPERLINK("http://www.ncbi.nlm.nih.gov/gene/69327", "69327")</f>
        <v>69327</v>
      </c>
      <c r="C1295" s="6" t="str">
        <f>HYPERLINK("http://www.ncbi.nlm.nih.gov/gene/138162", "138162")</f>
        <v>138162</v>
      </c>
      <c r="D1295" t="str">
        <f>"1700007K13Rik"</f>
        <v>1700007K13Rik</v>
      </c>
      <c r="E1295" t="s">
        <v>3976</v>
      </c>
      <c r="F1295" t="s">
        <v>90</v>
      </c>
      <c r="H1295" s="523">
        <v>9</v>
      </c>
      <c r="I1295" s="374">
        <v>6.7604350007024596</v>
      </c>
      <c r="J1295" s="334">
        <v>6.7162899024963796</v>
      </c>
      <c r="K1295" s="277">
        <v>6.5221610642337797</v>
      </c>
      <c r="L1295" s="2499">
        <v>7.0461376526631803</v>
      </c>
      <c r="M1295" s="947">
        <v>6.8749026785891099</v>
      </c>
      <c r="N1295" s="945">
        <v>6.6370466221815896</v>
      </c>
      <c r="O1295" s="1257">
        <v>5.6280796852763304</v>
      </c>
      <c r="P1295" s="1326">
        <v>5.7094004543631902</v>
      </c>
      <c r="Q1295" s="2069">
        <v>5.4557296060134997</v>
      </c>
      <c r="R1295" s="1820">
        <v>4.3643880039787399</v>
      </c>
      <c r="S1295" s="1134">
        <v>4.7055727701238803</v>
      </c>
      <c r="T1295" s="1770">
        <v>4.4364775310032201</v>
      </c>
    </row>
    <row r="1296" spans="1:20">
      <c r="A1296" t="s">
        <v>3977</v>
      </c>
      <c r="B1296" s="6" t="str">
        <f>HYPERLINK("http://www.ncbi.nlm.nih.gov/gene/14778", "14778")</f>
        <v>14778</v>
      </c>
      <c r="C1296" s="6" t="str">
        <f>HYPERLINK("http://www.ncbi.nlm.nih.gov/gene/2878", "2878")</f>
        <v>2878</v>
      </c>
      <c r="D1296" t="str">
        <f>"Gpx3"</f>
        <v>Gpx3</v>
      </c>
      <c r="E1296" t="s">
        <v>3978</v>
      </c>
      <c r="F1296" t="s">
        <v>3979</v>
      </c>
      <c r="G1296" t="s">
        <v>3375</v>
      </c>
      <c r="H1296" s="523">
        <v>9</v>
      </c>
      <c r="I1296" s="355">
        <v>8.0235728404011706</v>
      </c>
      <c r="J1296" s="395">
        <v>7.8929620546124504</v>
      </c>
      <c r="K1296" s="357">
        <v>7.96742727538488</v>
      </c>
      <c r="L1296" s="2498">
        <v>7.9522515434504797</v>
      </c>
      <c r="M1296" s="934">
        <v>7.8701768560228498</v>
      </c>
      <c r="N1296" s="1532">
        <v>7.4594861019263901</v>
      </c>
      <c r="O1296" s="1130">
        <v>7.2203277933731096</v>
      </c>
      <c r="P1296" s="629">
        <v>6.9579270013410399</v>
      </c>
      <c r="Q1296" s="2111">
        <v>7.0673558681344</v>
      </c>
      <c r="R1296" s="1718">
        <v>5.7677841418075397</v>
      </c>
      <c r="S1296" s="1021">
        <v>6.1278551072975</v>
      </c>
      <c r="T1296" s="1819">
        <v>6.0998123121728502</v>
      </c>
    </row>
    <row r="1297" spans="1:20">
      <c r="A1297" t="s">
        <v>3980</v>
      </c>
      <c r="B1297" s="6" t="str">
        <f>HYPERLINK("http://www.ncbi.nlm.nih.gov/gene/110637", "110637")</f>
        <v>110637</v>
      </c>
      <c r="C1297" s="6" t="str">
        <f>HYPERLINK("http://www.ncbi.nlm.nih.gov/gene/2900", "2900")</f>
        <v>2900</v>
      </c>
      <c r="D1297" t="str">
        <f>"Grik4"</f>
        <v>Grik4</v>
      </c>
      <c r="E1297" t="s">
        <v>3981</v>
      </c>
      <c r="F1297" t="s">
        <v>3982</v>
      </c>
      <c r="G1297" t="s">
        <v>106</v>
      </c>
      <c r="H1297" s="523">
        <v>9</v>
      </c>
      <c r="I1297" s="229">
        <v>5.9476520890805498</v>
      </c>
      <c r="J1297" s="340">
        <v>5.8014652119177104</v>
      </c>
      <c r="K1297" s="412">
        <v>5.9407144340904798</v>
      </c>
      <c r="L1297" s="1987">
        <v>5.9025522261160104</v>
      </c>
      <c r="M1297" s="901">
        <v>5.6584013561961699</v>
      </c>
      <c r="N1297" s="923">
        <v>5.8973396787057499</v>
      </c>
      <c r="O1297" s="1124">
        <v>5.32510722164771</v>
      </c>
      <c r="P1297" s="699">
        <v>5.0226245530101297</v>
      </c>
      <c r="Q1297" s="2172">
        <v>5.3014554773189504</v>
      </c>
      <c r="R1297" s="1556">
        <v>4.3571563752557498</v>
      </c>
      <c r="S1297" s="1699">
        <v>4.06559083269818</v>
      </c>
      <c r="T1297" s="1805">
        <v>4.1202331459967798</v>
      </c>
    </row>
    <row r="1298" spans="1:20">
      <c r="A1298" t="s">
        <v>3983</v>
      </c>
      <c r="B1298" s="6" t="str">
        <f>HYPERLINK("http://www.ncbi.nlm.nih.gov/gene/100038582", "100038582")</f>
        <v>100038582</v>
      </c>
      <c r="C1298" s="6" t="str">
        <f>HYPERLINK("http://www.ncbi.nlm.nih.gov/gene/", "")</f>
        <v/>
      </c>
      <c r="D1298" t="str">
        <f>"Gm10824"</f>
        <v>Gm10824</v>
      </c>
      <c r="E1298" t="s">
        <v>3984</v>
      </c>
      <c r="H1298" s="523">
        <v>9</v>
      </c>
      <c r="I1298" s="495">
        <v>5.6812917682234296</v>
      </c>
      <c r="J1298" s="372">
        <v>5.4548792813775702</v>
      </c>
      <c r="K1298" s="402">
        <v>5.8501939533884499</v>
      </c>
      <c r="L1298" s="2028">
        <v>4.9640678590410001</v>
      </c>
      <c r="M1298" s="695">
        <v>4.83660994362672</v>
      </c>
      <c r="N1298" s="892">
        <v>4.7101945938727603</v>
      </c>
      <c r="O1298" s="1428">
        <v>5.8400141324590296</v>
      </c>
      <c r="P1298" s="902">
        <v>6.0780534477513104</v>
      </c>
      <c r="Q1298" s="2680">
        <v>6.0151510405439002</v>
      </c>
      <c r="R1298" s="1820">
        <v>3.6405697715688898</v>
      </c>
      <c r="S1298" s="1150">
        <v>3.7652002328459702</v>
      </c>
      <c r="T1298" s="1821">
        <v>3.8227087944520699</v>
      </c>
    </row>
    <row r="1299" spans="1:20">
      <c r="A1299" t="s">
        <v>3985</v>
      </c>
      <c r="B1299" s="6" t="str">
        <f>HYPERLINK("http://www.ncbi.nlm.nih.gov/gene/21412", "21412")</f>
        <v>21412</v>
      </c>
      <c r="C1299" s="6" t="str">
        <f>HYPERLINK("http://www.ncbi.nlm.nih.gov/gene/6943", "6943")</f>
        <v>6943</v>
      </c>
      <c r="D1299" t="str">
        <f>"Tcf21"</f>
        <v>Tcf21</v>
      </c>
      <c r="E1299" t="s">
        <v>3986</v>
      </c>
      <c r="F1299" t="s">
        <v>3987</v>
      </c>
      <c r="H1299" s="523">
        <v>9</v>
      </c>
      <c r="I1299" s="283">
        <v>7.4242212361644402</v>
      </c>
      <c r="J1299" s="287">
        <v>7.5239622729243401</v>
      </c>
      <c r="K1299" s="501">
        <v>7.7461057145474701</v>
      </c>
      <c r="L1299" s="2681">
        <v>7.29199246613239</v>
      </c>
      <c r="M1299" s="889">
        <v>7.2990649720977796</v>
      </c>
      <c r="N1299" s="835">
        <v>7.1157927194868904</v>
      </c>
      <c r="O1299" s="871">
        <v>8.0812177888653807</v>
      </c>
      <c r="P1299" s="1237">
        <v>8.3859077029680407</v>
      </c>
      <c r="Q1299" s="2664">
        <v>8.1819657482527592</v>
      </c>
      <c r="R1299" s="1822">
        <v>5.1631783977030903</v>
      </c>
      <c r="S1299" s="1317">
        <v>5.6288429897249896</v>
      </c>
      <c r="T1299" s="1811">
        <v>5.5331891226033498</v>
      </c>
    </row>
    <row r="1300" spans="1:20">
      <c r="A1300" t="s">
        <v>4011</v>
      </c>
      <c r="B1300" s="6" t="str">
        <f>HYPERLINK("http://www.ncbi.nlm.nih.gov/gene/226922", "226922")</f>
        <v>226922</v>
      </c>
      <c r="C1300" s="6" t="str">
        <f>HYPERLINK("http://www.ncbi.nlm.nih.gov/gene/56479", "56479")</f>
        <v>56479</v>
      </c>
      <c r="D1300" t="str">
        <f>"Kcnq5"</f>
        <v>Kcnq5</v>
      </c>
      <c r="E1300" t="s">
        <v>4012</v>
      </c>
      <c r="F1300" t="s">
        <v>3988</v>
      </c>
      <c r="H1300" s="523">
        <v>9</v>
      </c>
      <c r="I1300" s="315">
        <v>6.1209196712697898</v>
      </c>
      <c r="J1300" s="377">
        <v>6.1488176743963701</v>
      </c>
      <c r="K1300" s="325">
        <v>6.1120924422784801</v>
      </c>
      <c r="L1300" s="2605">
        <v>5.7775862376112697</v>
      </c>
      <c r="M1300" s="779">
        <v>5.6770283291502803</v>
      </c>
      <c r="N1300" s="939">
        <v>5.9650327728290602</v>
      </c>
      <c r="O1300" s="861">
        <v>6.4825981695011397</v>
      </c>
      <c r="P1300" s="1429">
        <v>6.2192812605927097</v>
      </c>
      <c r="Q1300" s="1847">
        <v>6.6606815895738096</v>
      </c>
      <c r="R1300" s="1143">
        <v>4.8027026379879798</v>
      </c>
      <c r="S1300" s="1138">
        <v>4.8334447624008003</v>
      </c>
      <c r="T1300" s="1823">
        <v>4.3354772177079504</v>
      </c>
    </row>
    <row r="1301" spans="1:20">
      <c r="A1301" t="s">
        <v>3989</v>
      </c>
      <c r="B1301" s="6" t="str">
        <f>HYPERLINK("http://www.ncbi.nlm.nih.gov/gene/100217419", "100217419")</f>
        <v>100217419</v>
      </c>
      <c r="C1301" s="6" t="str">
        <f>HYPERLINK("http://www.ncbi.nlm.nih.gov/gene/", "")</f>
        <v/>
      </c>
      <c r="D1301" t="str">
        <f>"Snora52"</f>
        <v>Snora52</v>
      </c>
      <c r="E1301" t="s">
        <v>3990</v>
      </c>
      <c r="F1301" t="s">
        <v>90</v>
      </c>
      <c r="H1301" s="523">
        <v>9</v>
      </c>
      <c r="I1301" s="426">
        <v>7.50482243156649</v>
      </c>
      <c r="J1301" s="360">
        <v>7.82234763067739</v>
      </c>
      <c r="K1301" s="398">
        <v>7.8023614129643102</v>
      </c>
      <c r="L1301" s="2549">
        <v>7.6070861388017796</v>
      </c>
      <c r="M1301" s="1215">
        <v>7.2418738782274703</v>
      </c>
      <c r="N1301" s="549">
        <v>7.1116449046079104</v>
      </c>
      <c r="O1301" s="1483">
        <v>7.8816192529522002</v>
      </c>
      <c r="P1301" s="844">
        <v>7.6891717810805398</v>
      </c>
      <c r="Q1301" s="2291">
        <v>7.5458363208415102</v>
      </c>
      <c r="R1301" s="1730">
        <v>6.5148664603615698</v>
      </c>
      <c r="S1301" s="1447">
        <v>6.7381524085589204</v>
      </c>
      <c r="T1301" s="1811">
        <v>6.6351101511039996</v>
      </c>
    </row>
    <row r="1302" spans="1:20">
      <c r="A1302" t="s">
        <v>3991</v>
      </c>
      <c r="B1302" s="6" t="str">
        <f>HYPERLINK("http://www.ncbi.nlm.nih.gov/gene/100316716", "100316716")</f>
        <v>100316716</v>
      </c>
      <c r="C1302" s="6" t="str">
        <f>HYPERLINK("http://www.ncbi.nlm.nih.gov/gene/", "")</f>
        <v/>
      </c>
      <c r="D1302" t="str">
        <f>"Mir1983"</f>
        <v>Mir1983</v>
      </c>
      <c r="E1302" t="s">
        <v>3992</v>
      </c>
      <c r="F1302" t="s">
        <v>3993</v>
      </c>
      <c r="H1302" s="523">
        <v>9</v>
      </c>
      <c r="I1302" s="438">
        <v>7.5897305884158204</v>
      </c>
      <c r="J1302" s="387">
        <v>8.0333357860159307</v>
      </c>
      <c r="K1302" s="504">
        <v>7.6665652077447701</v>
      </c>
      <c r="L1302" s="2615">
        <v>7.1606267276331499</v>
      </c>
      <c r="M1302" s="779">
        <v>6.9748219548795403</v>
      </c>
      <c r="N1302" s="662">
        <v>6.53403806942688</v>
      </c>
      <c r="O1302" s="754">
        <v>8.1691960745818193</v>
      </c>
      <c r="P1302" s="981">
        <v>7.8955797412175501</v>
      </c>
      <c r="Q1302" s="2030">
        <v>7.74052383819342</v>
      </c>
      <c r="R1302" s="1150">
        <v>5.7644463421875702</v>
      </c>
      <c r="S1302" s="1021">
        <v>5.8562058135730997</v>
      </c>
      <c r="T1302" s="1824">
        <v>5.6019931359686401</v>
      </c>
    </row>
    <row r="1303" spans="1:20">
      <c r="A1303" t="s">
        <v>3994</v>
      </c>
      <c r="B1303" s="6" t="str">
        <f>HYPERLINK("http://www.ncbi.nlm.nih.gov/gene/66120", "66120")</f>
        <v>66120</v>
      </c>
      <c r="C1303" s="6" t="str">
        <f>HYPERLINK("http://www.ncbi.nlm.nih.gov/gene/51303", "51303")</f>
        <v>51303</v>
      </c>
      <c r="D1303" t="str">
        <f>"Fkbp11"</f>
        <v>Fkbp11</v>
      </c>
      <c r="E1303" t="s">
        <v>3995</v>
      </c>
      <c r="F1303" t="s">
        <v>3996</v>
      </c>
      <c r="H1303" s="523">
        <v>9</v>
      </c>
      <c r="I1303" s="364">
        <v>6.7056797187553201</v>
      </c>
      <c r="J1303" s="261">
        <v>6.9194861938957404</v>
      </c>
      <c r="K1303" s="336">
        <v>6.7361529753499401</v>
      </c>
      <c r="L1303" s="2615">
        <v>6.4448788176045904</v>
      </c>
      <c r="M1303" s="901">
        <v>6.6680562444063298</v>
      </c>
      <c r="N1303" s="705">
        <v>6.3067460446494801</v>
      </c>
      <c r="O1303" s="1521">
        <v>6.8986140959965203</v>
      </c>
      <c r="P1303" s="928">
        <v>6.6722610464660201</v>
      </c>
      <c r="Q1303" s="2224">
        <v>6.6361165855978204</v>
      </c>
      <c r="R1303" s="1727">
        <v>5.4072253472938501</v>
      </c>
      <c r="S1303" s="1156">
        <v>5.6559876564652898</v>
      </c>
      <c r="T1303" s="1825">
        <v>5.7725240681488996</v>
      </c>
    </row>
    <row r="1304" spans="1:20">
      <c r="A1304" t="s">
        <v>3997</v>
      </c>
      <c r="B1304" s="6" t="str">
        <f>HYPERLINK("http://www.ncbi.nlm.nih.gov/gene/104433", "104433")</f>
        <v>104433</v>
      </c>
      <c r="C1304" s="6" t="str">
        <f>HYPERLINK("http://www.ncbi.nlm.nih.gov/gene/", "")</f>
        <v/>
      </c>
      <c r="D1304" t="str">
        <f>"Snora62"</f>
        <v>Snora62</v>
      </c>
      <c r="E1304" t="s">
        <v>3998</v>
      </c>
      <c r="F1304" t="s">
        <v>3999</v>
      </c>
      <c r="H1304" s="523">
        <v>9</v>
      </c>
      <c r="I1304" s="324">
        <v>8.5399169024864996</v>
      </c>
      <c r="J1304" s="420">
        <v>8.8389900949671905</v>
      </c>
      <c r="K1304" s="355">
        <v>8.9164329331565106</v>
      </c>
      <c r="L1304" s="2566">
        <v>8.5664804942979398</v>
      </c>
      <c r="M1304" s="1090">
        <v>8.4425091673596597</v>
      </c>
      <c r="N1304" s="835">
        <v>8.2865373232001396</v>
      </c>
      <c r="O1304" s="1505">
        <v>8.8074689719204606</v>
      </c>
      <c r="P1304" s="951">
        <v>8.6903956744722404</v>
      </c>
      <c r="Q1304" s="2211">
        <v>8.4776199837004391</v>
      </c>
      <c r="R1304" s="1826">
        <v>7.2818101993456104</v>
      </c>
      <c r="S1304" s="1665">
        <v>7.2889578909389998</v>
      </c>
      <c r="T1304" s="1813">
        <v>7.3555253993245699</v>
      </c>
    </row>
    <row r="1305" spans="1:20">
      <c r="A1305" t="s">
        <v>4000</v>
      </c>
      <c r="B1305" s="6" t="str">
        <f>HYPERLINK("http://www.ncbi.nlm.nih.gov/gene/276829", "276829")</f>
        <v>276829</v>
      </c>
      <c r="C1305" s="6" t="str">
        <f>HYPERLINK("http://www.ncbi.nlm.nih.gov/gene/342527", "342527")</f>
        <v>342527</v>
      </c>
      <c r="D1305" t="str">
        <f>"Smtnl2"</f>
        <v>Smtnl2</v>
      </c>
      <c r="E1305" t="s">
        <v>4001</v>
      </c>
      <c r="F1305" t="s">
        <v>90</v>
      </c>
      <c r="H1305" s="523">
        <v>9</v>
      </c>
      <c r="I1305" s="489">
        <v>7.5073904212090001</v>
      </c>
      <c r="J1305" s="336">
        <v>7.2986088958440103</v>
      </c>
      <c r="K1305" s="362">
        <v>7.3898532855065104</v>
      </c>
      <c r="L1305" s="2548">
        <v>7.05634736041005</v>
      </c>
      <c r="M1305" s="816">
        <v>7.0738557516240199</v>
      </c>
      <c r="N1305" s="1532">
        <v>6.9737187676396299</v>
      </c>
      <c r="O1305" s="983">
        <v>7.2432372773977001</v>
      </c>
      <c r="P1305" s="1284">
        <v>7.1145733084274303</v>
      </c>
      <c r="Q1305" s="2309">
        <v>7.0533064830306502</v>
      </c>
      <c r="R1305" s="1710">
        <v>5.0479724569907898</v>
      </c>
      <c r="S1305" s="1447">
        <v>5.4767078488746002</v>
      </c>
      <c r="T1305" s="1827">
        <v>4.8107627511379603</v>
      </c>
    </row>
    <row r="1306" spans="1:20">
      <c r="A1306" t="s">
        <v>4002</v>
      </c>
      <c r="B1306" s="6" t="str">
        <f>HYPERLINK("http://www.ncbi.nlm.nih.gov/gene/13685", "13685")</f>
        <v>13685</v>
      </c>
      <c r="C1306" s="6" t="str">
        <f>HYPERLINK("http://www.ncbi.nlm.nih.gov/gene/1978", "1978")</f>
        <v>1978</v>
      </c>
      <c r="D1306" t="str">
        <f>"Eif4ebp1"</f>
        <v>Eif4ebp1</v>
      </c>
      <c r="E1306" t="s">
        <v>4003</v>
      </c>
      <c r="F1306" t="s">
        <v>4004</v>
      </c>
      <c r="G1306" t="s">
        <v>4005</v>
      </c>
      <c r="H1306" s="523">
        <v>9</v>
      </c>
      <c r="I1306" s="377">
        <v>7.5200470506003896</v>
      </c>
      <c r="J1306" s="448">
        <v>7.7305764771117103</v>
      </c>
      <c r="K1306" s="431">
        <v>7.5060489551815701</v>
      </c>
      <c r="L1306" s="2545">
        <v>7.67552238857873</v>
      </c>
      <c r="M1306" s="842">
        <v>7.58067834632309</v>
      </c>
      <c r="N1306" s="854">
        <v>7.1605417922659997</v>
      </c>
      <c r="O1306" s="1474">
        <v>7.6226429226137604</v>
      </c>
      <c r="P1306" s="1532">
        <v>7.3999638187718304</v>
      </c>
      <c r="Q1306" s="2380">
        <v>7.4300042439957696</v>
      </c>
      <c r="R1306" s="1791">
        <v>6.3377455391616104</v>
      </c>
      <c r="S1306" s="1441">
        <v>6.5015676444759896</v>
      </c>
      <c r="T1306" s="1802">
        <v>6.2890711866955398</v>
      </c>
    </row>
    <row r="1307" spans="1:20">
      <c r="A1307" t="s">
        <v>4006</v>
      </c>
      <c r="B1307" s="6" t="str">
        <f>HYPERLINK("http://www.ncbi.nlm.nih.gov/gene/238384", "238384")</f>
        <v>238384</v>
      </c>
      <c r="C1307" s="6" t="str">
        <f>HYPERLINK("http://www.ncbi.nlm.nih.gov/gene/123041", "123041")</f>
        <v>123041</v>
      </c>
      <c r="D1307" t="str">
        <f>"Slc24a4"</f>
        <v>Slc24a4</v>
      </c>
      <c r="E1307" t="s">
        <v>4007</v>
      </c>
      <c r="F1307" t="s">
        <v>4008</v>
      </c>
      <c r="H1307" s="523">
        <v>9</v>
      </c>
      <c r="I1307" s="369">
        <v>6.4884571564985603</v>
      </c>
      <c r="J1307" s="364">
        <v>6.2842977469359997</v>
      </c>
      <c r="K1307" s="420">
        <v>6.4814781225415699</v>
      </c>
      <c r="L1307" s="2604">
        <v>6.0468268265251899</v>
      </c>
      <c r="M1307" s="947">
        <v>6.53926191753051</v>
      </c>
      <c r="N1307" s="820">
        <v>6.1448679285398402</v>
      </c>
      <c r="O1307" s="1806">
        <v>5.8713037677438198</v>
      </c>
      <c r="P1307" s="1305">
        <v>6.1209915810157201</v>
      </c>
      <c r="Q1307" s="2231">
        <v>6.1104045909483498</v>
      </c>
      <c r="R1307" s="1709">
        <v>4.6439984977238904</v>
      </c>
      <c r="S1307" s="1710">
        <v>4.6745609400062396</v>
      </c>
      <c r="T1307" s="1828">
        <v>4.9147712412341402</v>
      </c>
    </row>
    <row r="1308" spans="1:20">
      <c r="A1308" t="s">
        <v>4009</v>
      </c>
      <c r="B1308" s="6" t="str">
        <f>HYPERLINK("http://www.ncbi.nlm.nih.gov/gene/20471", "20471")</f>
        <v>20471</v>
      </c>
      <c r="C1308" s="6" t="str">
        <f>HYPERLINK("http://www.ncbi.nlm.nih.gov/gene/6495", "6495")</f>
        <v>6495</v>
      </c>
      <c r="D1308" t="str">
        <f>"Six1"</f>
        <v>Six1</v>
      </c>
      <c r="E1308" t="s">
        <v>4010</v>
      </c>
      <c r="F1308" t="s">
        <v>4013</v>
      </c>
      <c r="H1308" s="523">
        <v>9</v>
      </c>
      <c r="I1308" s="388">
        <v>7.1114964894359103</v>
      </c>
      <c r="J1308" s="396">
        <v>7.09158811552118</v>
      </c>
      <c r="K1308" s="420">
        <v>7.4023714268581102</v>
      </c>
      <c r="L1308" s="2562">
        <v>7.1423630083577798</v>
      </c>
      <c r="M1308" s="1484">
        <v>7.2080988263463999</v>
      </c>
      <c r="N1308" s="771">
        <v>7.2238032444417302</v>
      </c>
      <c r="O1308" s="1269">
        <v>6.6218092361543803</v>
      </c>
      <c r="P1308" s="950">
        <v>6.7995527540990901</v>
      </c>
      <c r="Q1308" s="2110">
        <v>6.7674163328816501</v>
      </c>
      <c r="R1308" s="1701">
        <v>4.7769143365533298</v>
      </c>
      <c r="S1308" s="1682">
        <v>4.9215597791862002</v>
      </c>
      <c r="T1308" s="1829">
        <v>4.5868035558100901</v>
      </c>
    </row>
    <row r="1309" spans="1:20">
      <c r="A1309" t="s">
        <v>4050</v>
      </c>
      <c r="B1309" s="6" t="str">
        <f>HYPERLINK("http://www.ncbi.nlm.nih.gov/gene/68588", "68588")</f>
        <v>68588</v>
      </c>
      <c r="C1309" s="6" t="str">
        <f>HYPERLINK("http://www.ncbi.nlm.nih.gov/gene/115908", "115908")</f>
        <v>115908</v>
      </c>
      <c r="D1309" t="str">
        <f>"Cthrc1"</f>
        <v>Cthrc1</v>
      </c>
      <c r="E1309" t="s">
        <v>4051</v>
      </c>
      <c r="F1309" t="s">
        <v>4014</v>
      </c>
      <c r="H1309" s="523">
        <v>9</v>
      </c>
      <c r="I1309" s="340">
        <v>7.70873289092299</v>
      </c>
      <c r="J1309" s="360">
        <v>7.8912016518187498</v>
      </c>
      <c r="K1309" s="398">
        <v>7.8618011276147497</v>
      </c>
      <c r="L1309" s="2552">
        <v>7.5925744804038597</v>
      </c>
      <c r="M1309" s="758">
        <v>7.5604535404061002</v>
      </c>
      <c r="N1309" s="763">
        <v>7.4819516687764702</v>
      </c>
      <c r="O1309" s="1275">
        <v>7.4042542404463996</v>
      </c>
      <c r="P1309" s="1126">
        <v>7.4321381321483502</v>
      </c>
      <c r="Q1309" s="2196">
        <v>7.3850295372097197</v>
      </c>
      <c r="R1309" s="1804">
        <v>6.0753417522267004</v>
      </c>
      <c r="S1309" s="1701">
        <v>6.1986575820407097</v>
      </c>
      <c r="T1309" s="1817">
        <v>6.3301839953542496</v>
      </c>
    </row>
    <row r="1310" spans="1:20">
      <c r="A1310" t="s">
        <v>4015</v>
      </c>
      <c r="B1310" s="6" t="str">
        <f>HYPERLINK("http://www.ncbi.nlm.nih.gov/gene/108927", "108927")</f>
        <v>108927</v>
      </c>
      <c r="C1310" s="6" t="str">
        <f>HYPERLINK("http://www.ncbi.nlm.nih.gov/gene/10186", "10186")</f>
        <v>10186</v>
      </c>
      <c r="D1310" t="str">
        <f>"Lhfp"</f>
        <v>Lhfp</v>
      </c>
      <c r="E1310" t="s">
        <v>4016</v>
      </c>
      <c r="F1310" t="s">
        <v>37</v>
      </c>
      <c r="H1310" s="523">
        <v>9</v>
      </c>
      <c r="I1310" s="78">
        <v>9.0916085187938496</v>
      </c>
      <c r="J1310" s="358">
        <v>9.0101826153242701</v>
      </c>
      <c r="K1310" s="85">
        <v>9.2253824972417107</v>
      </c>
      <c r="L1310" s="1840">
        <v>7.8411227508396397</v>
      </c>
      <c r="M1310" s="798">
        <v>8.0878315829408596</v>
      </c>
      <c r="N1310" s="1095">
        <v>7.9692496307147502</v>
      </c>
      <c r="O1310" s="1283">
        <v>8.2873549470491898</v>
      </c>
      <c r="P1310" s="916">
        <v>8.2404977101253305</v>
      </c>
      <c r="Q1310" s="2291">
        <v>8.4145695216214396</v>
      </c>
      <c r="R1310" s="1649">
        <v>6.70509685158334</v>
      </c>
      <c r="S1310" s="1594">
        <v>6.87020392698353</v>
      </c>
      <c r="T1310" s="1830">
        <v>6.9505791063660904</v>
      </c>
    </row>
    <row r="1311" spans="1:20">
      <c r="A1311" t="s">
        <v>4017</v>
      </c>
      <c r="B1311" s="6" t="str">
        <f>HYPERLINK("http://www.ncbi.nlm.nih.gov/gene/56277", "56277")</f>
        <v>56277</v>
      </c>
      <c r="C1311" s="6" t="str">
        <f>HYPERLINK("http://www.ncbi.nlm.nih.gov/gene/55076", "55076")</f>
        <v>55076</v>
      </c>
      <c r="D1311" t="str">
        <f>"Tmem45a"</f>
        <v>Tmem45a</v>
      </c>
      <c r="E1311" t="s">
        <v>4018</v>
      </c>
      <c r="F1311" t="s">
        <v>4019</v>
      </c>
      <c r="H1311" s="523">
        <v>9</v>
      </c>
      <c r="I1311" s="67">
        <v>7.6813082313108403</v>
      </c>
      <c r="J1311" s="445">
        <v>7.5754426625194098</v>
      </c>
      <c r="K1311" s="178">
        <v>7.87725589367209</v>
      </c>
      <c r="L1311" s="1898">
        <v>6.5890046901778696</v>
      </c>
      <c r="M1311" s="751">
        <v>6.8377181438809904</v>
      </c>
      <c r="N1311" s="913">
        <v>6.84109116787275</v>
      </c>
      <c r="O1311" s="1314">
        <v>7.0216802772111802</v>
      </c>
      <c r="P1311" s="816">
        <v>7.13911607798752</v>
      </c>
      <c r="Q1311" s="2289">
        <v>7.25927839466455</v>
      </c>
      <c r="R1311" s="1778">
        <v>5.2985870740840104</v>
      </c>
      <c r="S1311" s="1317">
        <v>5.6339502269173298</v>
      </c>
      <c r="T1311" s="1763">
        <v>5.6836250102539196</v>
      </c>
    </row>
    <row r="1312" spans="1:20">
      <c r="A1312" t="s">
        <v>4020</v>
      </c>
      <c r="B1312" s="6" t="str">
        <f>HYPERLINK("http://www.ncbi.nlm.nih.gov/gene/269784", "269784")</f>
        <v>269784</v>
      </c>
      <c r="C1312" s="6" t="str">
        <f>HYPERLINK("http://www.ncbi.nlm.nih.gov/gene/152330", "152330")</f>
        <v>152330</v>
      </c>
      <c r="D1312" t="str">
        <f>"Cntn4"</f>
        <v>Cntn4</v>
      </c>
      <c r="E1312" t="s">
        <v>4021</v>
      </c>
      <c r="F1312" t="s">
        <v>4022</v>
      </c>
      <c r="H1312" s="523">
        <v>9</v>
      </c>
      <c r="I1312" s="441">
        <v>5.9538980231104501</v>
      </c>
      <c r="J1312" s="355">
        <v>5.8334777719430999</v>
      </c>
      <c r="K1312" s="268">
        <v>5.9639098018991197</v>
      </c>
      <c r="L1312" s="1844">
        <v>4.4863833824987696</v>
      </c>
      <c r="M1312" s="910">
        <v>4.6513048946187698</v>
      </c>
      <c r="N1312" s="649">
        <v>4.7430565059710599</v>
      </c>
      <c r="O1312" s="1247">
        <v>5.4719649325822903</v>
      </c>
      <c r="P1312" s="766">
        <v>5.25298379511944</v>
      </c>
      <c r="Q1312" s="2034">
        <v>5.5786446259777902</v>
      </c>
      <c r="R1312" s="1671">
        <v>3.4717851122729999</v>
      </c>
      <c r="S1312" s="727">
        <v>3.6466401580813299</v>
      </c>
      <c r="T1312" s="1787">
        <v>3.5223820976276099</v>
      </c>
    </row>
    <row r="1313" spans="1:20">
      <c r="A1313" t="s">
        <v>4023</v>
      </c>
      <c r="B1313" s="6" t="str">
        <f>HYPERLINK("http://www.ncbi.nlm.nih.gov/gene/100861570", "100861570")</f>
        <v>100861570</v>
      </c>
      <c r="C1313" s="6" t="str">
        <f>HYPERLINK("http://www.ncbi.nlm.nih.gov/gene/", "")</f>
        <v/>
      </c>
      <c r="D1313" t="str">
        <f>"LOC100861570"</f>
        <v>LOC100861570</v>
      </c>
      <c r="E1313" t="s">
        <v>4024</v>
      </c>
      <c r="H1313" s="523">
        <v>9</v>
      </c>
      <c r="I1313" s="445">
        <v>7.8914042517303304</v>
      </c>
      <c r="J1313" s="496">
        <v>7.9648605492642899</v>
      </c>
      <c r="K1313" s="484">
        <v>7.9482047736864896</v>
      </c>
      <c r="L1313" s="2255">
        <v>7.2249852789990499</v>
      </c>
      <c r="M1313" s="1226">
        <v>7.4116724761784702</v>
      </c>
      <c r="N1313" s="1226">
        <v>7.4088889824765003</v>
      </c>
      <c r="O1313" s="954">
        <v>7.5827921763461301</v>
      </c>
      <c r="P1313" s="816">
        <v>7.6189997682192301</v>
      </c>
      <c r="Q1313" s="2007">
        <v>7.8652977387291099</v>
      </c>
      <c r="R1313" s="1665">
        <v>6.5387145252311099</v>
      </c>
      <c r="S1313" s="1666">
        <v>6.5536953550151296</v>
      </c>
      <c r="T1313" s="1825">
        <v>6.7442353206479604</v>
      </c>
    </row>
    <row r="1314" spans="1:20">
      <c r="A1314" t="s">
        <v>4025</v>
      </c>
      <c r="B1314" s="6" t="str">
        <f>HYPERLINK("http://www.ncbi.nlm.nih.gov/gene/233744", "233744")</f>
        <v>233744</v>
      </c>
      <c r="C1314" s="6" t="str">
        <f>HYPERLINK("http://www.ncbi.nlm.nih.gov/gene/10418", "10418")</f>
        <v>10418</v>
      </c>
      <c r="D1314" t="str">
        <f>"Spon1"</f>
        <v>Spon1</v>
      </c>
      <c r="E1314" t="s">
        <v>4026</v>
      </c>
      <c r="F1314" t="s">
        <v>4027</v>
      </c>
      <c r="H1314" s="523">
        <v>9</v>
      </c>
      <c r="I1314" s="496">
        <v>6.99225738815342</v>
      </c>
      <c r="J1314" s="371">
        <v>7.1852329412090103</v>
      </c>
      <c r="K1314" s="174">
        <v>7.1396193595898296</v>
      </c>
      <c r="L1314" s="1900">
        <v>6.0907632462660404</v>
      </c>
      <c r="M1314" s="942">
        <v>6.1816985153529602</v>
      </c>
      <c r="N1314" s="1215">
        <v>5.9246840782233603</v>
      </c>
      <c r="O1314" s="1121">
        <v>6.2718589877856701</v>
      </c>
      <c r="P1314" s="942">
        <v>6.1801376794621596</v>
      </c>
      <c r="Q1314" s="1978">
        <v>6.4881402262236403</v>
      </c>
      <c r="R1314" s="1021">
        <v>4.9955799051764496</v>
      </c>
      <c r="S1314" s="1156">
        <v>4.8735352153419997</v>
      </c>
      <c r="T1314" s="1831">
        <v>4.8033524983211899</v>
      </c>
    </row>
    <row r="1315" spans="1:20">
      <c r="A1315" t="s">
        <v>4028</v>
      </c>
      <c r="B1315" s="6" t="str">
        <f>HYPERLINK("http://www.ncbi.nlm.nih.gov/gene/18417", "18417")</f>
        <v>18417</v>
      </c>
      <c r="C1315" s="6" t="str">
        <f>HYPERLINK("http://www.ncbi.nlm.nih.gov/gene/5010", "5010")</f>
        <v>5010</v>
      </c>
      <c r="D1315" t="str">
        <f>"Cldn11"</f>
        <v>Cldn11</v>
      </c>
      <c r="E1315" t="s">
        <v>4029</v>
      </c>
      <c r="F1315" t="s">
        <v>4038</v>
      </c>
      <c r="G1315" t="s">
        <v>451</v>
      </c>
      <c r="H1315" s="523">
        <v>9</v>
      </c>
      <c r="I1315" s="371">
        <v>9.4450286036793596</v>
      </c>
      <c r="J1315" s="475">
        <v>9.3749875325266405</v>
      </c>
      <c r="K1315" s="178">
        <v>9.4241883184304207</v>
      </c>
      <c r="L1315" s="2028">
        <v>7.14231161903502</v>
      </c>
      <c r="M1315" s="835">
        <v>7.3002128814426896</v>
      </c>
      <c r="N1315" s="1228">
        <v>7.0507491489162204</v>
      </c>
      <c r="O1315" s="965">
        <v>7.5569089131157199</v>
      </c>
      <c r="P1315" s="1497">
        <v>7.6213278946001504</v>
      </c>
      <c r="Q1315" s="2266">
        <v>7.7132730780871297</v>
      </c>
      <c r="R1315" s="1160">
        <v>5.12597483043049</v>
      </c>
      <c r="S1315" s="1317">
        <v>5.07267904918249</v>
      </c>
      <c r="T1315" s="1799">
        <v>4.8351405819827402</v>
      </c>
    </row>
    <row r="1316" spans="1:20">
      <c r="A1316" t="s">
        <v>4039</v>
      </c>
      <c r="B1316" s="6" t="str">
        <f>HYPERLINK("http://www.ncbi.nlm.nih.gov/gene/56791", "56791")</f>
        <v>56791</v>
      </c>
      <c r="C1316" s="6" t="str">
        <f>HYPERLINK("http://www.ncbi.nlm.nih.gov/gene/9246", "9246")</f>
        <v>9246</v>
      </c>
      <c r="D1316" t="str">
        <f>"Ube2l6"</f>
        <v>Ube2l6</v>
      </c>
      <c r="E1316" t="s">
        <v>4040</v>
      </c>
      <c r="F1316" t="s">
        <v>4041</v>
      </c>
      <c r="G1316" t="s">
        <v>4042</v>
      </c>
      <c r="H1316" s="523">
        <v>9</v>
      </c>
      <c r="I1316" s="484">
        <v>6.6473869757972102</v>
      </c>
      <c r="J1316" s="371">
        <v>6.8187493828290799</v>
      </c>
      <c r="K1316" s="86">
        <v>6.7681911451429899</v>
      </c>
      <c r="L1316" s="2132">
        <v>5.7468389465527503</v>
      </c>
      <c r="M1316" s="830">
        <v>5.9334267375575296</v>
      </c>
      <c r="N1316" s="720">
        <v>5.98982578835043</v>
      </c>
      <c r="O1316" s="1523">
        <v>6.2644498256264001</v>
      </c>
      <c r="P1316" s="1251">
        <v>6.0256866939850999</v>
      </c>
      <c r="Q1316" s="1978">
        <v>6.2670359039783197</v>
      </c>
      <c r="R1316" s="1139">
        <v>4.9572907994684696</v>
      </c>
      <c r="S1316" s="1556">
        <v>5.13913030733932</v>
      </c>
      <c r="T1316" s="1832">
        <v>5.0069751077704998</v>
      </c>
    </row>
    <row r="1317" spans="1:20">
      <c r="A1317" t="s">
        <v>4043</v>
      </c>
      <c r="B1317" s="6" t="str">
        <f>HYPERLINK("http://www.ncbi.nlm.nih.gov/gene/449562", "449562")</f>
        <v>449562</v>
      </c>
      <c r="C1317" s="6" t="str">
        <f>HYPERLINK("http://www.ncbi.nlm.nih.gov/gene/", "")</f>
        <v/>
      </c>
      <c r="D1317" t="str">
        <f>"AF357425"</f>
        <v>AF357425</v>
      </c>
      <c r="E1317" t="s">
        <v>4044</v>
      </c>
      <c r="H1317" s="523">
        <v>9</v>
      </c>
      <c r="I1317" s="484">
        <v>10.0249369205932</v>
      </c>
      <c r="J1317" s="357">
        <v>9.9647200813389691</v>
      </c>
      <c r="K1317" s="357">
        <v>9.9657305689467801</v>
      </c>
      <c r="L1317" s="2671">
        <v>9.5656821472363198</v>
      </c>
      <c r="M1317" s="1297">
        <v>9.5210012256590701</v>
      </c>
      <c r="N1317" s="1251">
        <v>9.4809618290170796</v>
      </c>
      <c r="O1317" s="1528">
        <v>9.68802219680299</v>
      </c>
      <c r="P1317" s="796">
        <v>9.5968284565517905</v>
      </c>
      <c r="Q1317" s="2391">
        <v>9.7284784508544497</v>
      </c>
      <c r="R1317" s="1441">
        <v>8.6654691404770592</v>
      </c>
      <c r="S1317" s="1833">
        <v>8.3368957285295906</v>
      </c>
      <c r="T1317" s="1794">
        <v>8.6441493986454603</v>
      </c>
    </row>
    <row r="1318" spans="1:20">
      <c r="A1318" t="s">
        <v>4045</v>
      </c>
      <c r="B1318" s="6" t="str">
        <f>HYPERLINK("http://www.ncbi.nlm.nih.gov/gene/329872", "329872")</f>
        <v>329872</v>
      </c>
      <c r="C1318" s="6" t="str">
        <f>HYPERLINK("http://www.ncbi.nlm.nih.gov/gene/158326", "158326")</f>
        <v>158326</v>
      </c>
      <c r="D1318" t="str">
        <f>"Frem1"</f>
        <v>Frem1</v>
      </c>
      <c r="E1318" t="s">
        <v>4046</v>
      </c>
      <c r="F1318" t="s">
        <v>4047</v>
      </c>
      <c r="H1318" s="523">
        <v>9</v>
      </c>
      <c r="I1318" s="346">
        <v>8.3249768201017407</v>
      </c>
      <c r="J1318" s="374">
        <v>8.1043295344003106</v>
      </c>
      <c r="K1318" s="183">
        <v>8.3909557174166203</v>
      </c>
      <c r="L1318" s="1967">
        <v>7.4997203530363903</v>
      </c>
      <c r="M1318" s="739">
        <v>7.5087157043634001</v>
      </c>
      <c r="N1318" s="739">
        <v>7.5085917762576004</v>
      </c>
      <c r="O1318" s="1300">
        <v>7.5960865733310401</v>
      </c>
      <c r="P1318" s="1090">
        <v>7.5398598073452598</v>
      </c>
      <c r="Q1318" s="2231">
        <v>7.6446048571706404</v>
      </c>
      <c r="R1318" s="1445">
        <v>6.0160507876940503</v>
      </c>
      <c r="S1318" s="1707">
        <v>5.7573092363078899</v>
      </c>
      <c r="T1318" s="1812">
        <v>5.9113316131621696</v>
      </c>
    </row>
    <row r="1319" spans="1:20">
      <c r="A1319" t="s">
        <v>4048</v>
      </c>
      <c r="B1319" s="6" t="str">
        <f>HYPERLINK("http://www.ncbi.nlm.nih.gov/gene/13345", "13345")</f>
        <v>13345</v>
      </c>
      <c r="C1319" s="6" t="str">
        <f>HYPERLINK("http://www.ncbi.nlm.nih.gov/gene/117581", "117581")</f>
        <v>117581</v>
      </c>
      <c r="D1319" t="str">
        <f>"Twist2"</f>
        <v>Twist2</v>
      </c>
      <c r="E1319" t="s">
        <v>4049</v>
      </c>
      <c r="F1319" t="s">
        <v>4057</v>
      </c>
      <c r="H1319" s="523">
        <v>9</v>
      </c>
      <c r="I1319" s="291">
        <v>7.2100881628191003</v>
      </c>
      <c r="J1319" s="454">
        <v>6.85929666442554</v>
      </c>
      <c r="K1319" s="441">
        <v>7.0741682913195403</v>
      </c>
      <c r="L1319" s="1919">
        <v>5.4085333187800098</v>
      </c>
      <c r="M1319" s="1532">
        <v>5.7736558253628898</v>
      </c>
      <c r="N1319" s="849">
        <v>5.0452524359254296</v>
      </c>
      <c r="O1319" s="1403">
        <v>5.7171850504945096</v>
      </c>
      <c r="P1319" s="770">
        <v>5.88349866731612</v>
      </c>
      <c r="Q1319" s="2108">
        <v>5.5373780352025097</v>
      </c>
      <c r="R1319" s="1790">
        <v>2.45484840321941</v>
      </c>
      <c r="S1319" s="1025">
        <v>3.2735518445683498</v>
      </c>
      <c r="T1319" s="1786">
        <v>2.91640411665768</v>
      </c>
    </row>
    <row r="1320" spans="1:20">
      <c r="A1320" t="s">
        <v>4058</v>
      </c>
      <c r="B1320" s="6" t="str">
        <f>HYPERLINK("http://www.ncbi.nlm.nih.gov/gene/67119", "67119")</f>
        <v>67119</v>
      </c>
      <c r="C1320" s="6" t="str">
        <f>HYPERLINK("http://www.ncbi.nlm.nih.gov/gene/126075", "126075")</f>
        <v>126075</v>
      </c>
      <c r="D1320" t="str">
        <f>"Ccdc159"</f>
        <v>Ccdc159</v>
      </c>
      <c r="E1320" t="s">
        <v>4059</v>
      </c>
      <c r="F1320" t="s">
        <v>90</v>
      </c>
      <c r="H1320" s="523">
        <v>9</v>
      </c>
      <c r="I1320" s="367">
        <v>6.9539900402515</v>
      </c>
      <c r="J1320" s="49">
        <v>6.7454690924065401</v>
      </c>
      <c r="K1320" s="241">
        <v>7.0573162664905302</v>
      </c>
      <c r="L1320" s="2678">
        <v>6.4148046947933697</v>
      </c>
      <c r="M1320" s="763">
        <v>6.4158871201502699</v>
      </c>
      <c r="N1320" s="835">
        <v>6.1462053697788903</v>
      </c>
      <c r="O1320" s="965">
        <v>6.2596940002786097</v>
      </c>
      <c r="P1320" s="1497">
        <v>6.2886131357707704</v>
      </c>
      <c r="Q1320" s="2682">
        <v>6.3782335631752298</v>
      </c>
      <c r="R1320" s="1704">
        <v>4.6251069951722403</v>
      </c>
      <c r="S1320" s="1559">
        <v>5.18856980387317</v>
      </c>
      <c r="T1320" s="1313">
        <v>5.2633386679658596</v>
      </c>
    </row>
  </sheetData>
  <autoFilter ref="A5:T5" xr:uid="{00000000-0009-0000-0000-000000000000}"/>
  <mergeCells count="1">
    <mergeCell ref="I4:T4"/>
  </mergeCells>
  <phoneticPr fontId="23"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topLeftCell="E2" zoomScale="150" workbookViewId="0">
      <selection activeCell="U5" sqref="U5"/>
    </sheetView>
  </sheetViews>
  <sheetFormatPr baseColWidth="10" defaultRowHeight="15"/>
  <cols>
    <col min="5" max="5" width="29.1640625" customWidth="1"/>
    <col min="7" max="7" width="26.6640625" customWidth="1"/>
  </cols>
  <sheetData>
    <row r="1" spans="1:21">
      <c r="A1" t="s">
        <v>4085</v>
      </c>
    </row>
    <row r="2" spans="1:21">
      <c r="L2" t="s">
        <v>4086</v>
      </c>
      <c r="R2" t="s">
        <v>4087</v>
      </c>
    </row>
    <row r="3" spans="1:21" s="1" customFormat="1" ht="15" customHeight="1">
      <c r="B3" s="5"/>
      <c r="C3" s="5"/>
      <c r="H3" s="11"/>
      <c r="I3" s="2747" t="s">
        <v>12</v>
      </c>
      <c r="J3" s="2747"/>
      <c r="K3" s="2747"/>
      <c r="L3" s="2747"/>
      <c r="M3" s="2747"/>
      <c r="N3" s="2747"/>
      <c r="O3" s="2747"/>
      <c r="P3" s="2747"/>
      <c r="Q3" s="2747"/>
      <c r="R3" s="2747"/>
      <c r="S3" s="2747"/>
      <c r="T3" s="2747"/>
    </row>
    <row r="4" spans="1:21" s="1" customFormat="1" ht="108.75" customHeight="1">
      <c r="A4" s="1" t="s">
        <v>17</v>
      </c>
      <c r="B4" s="2683" t="s">
        <v>18</v>
      </c>
      <c r="C4" s="7" t="s">
        <v>13</v>
      </c>
      <c r="D4" s="2" t="s">
        <v>10</v>
      </c>
      <c r="E4" s="1" t="s">
        <v>11</v>
      </c>
      <c r="F4" s="1" t="s">
        <v>15</v>
      </c>
      <c r="G4" s="1" t="s">
        <v>16</v>
      </c>
      <c r="H4" s="13" t="s">
        <v>14</v>
      </c>
      <c r="I4" s="15" t="s">
        <v>4060</v>
      </c>
      <c r="J4" s="15" t="s">
        <v>4061</v>
      </c>
      <c r="K4" s="15" t="s">
        <v>4062</v>
      </c>
      <c r="L4" s="16" t="s">
        <v>4032</v>
      </c>
      <c r="M4" s="17" t="s">
        <v>4033</v>
      </c>
      <c r="N4" s="17" t="s">
        <v>4034</v>
      </c>
      <c r="O4" s="524" t="s">
        <v>4035</v>
      </c>
      <c r="P4" s="18" t="s">
        <v>4036</v>
      </c>
      <c r="Q4" s="19" t="s">
        <v>4030</v>
      </c>
      <c r="R4" s="20" t="s">
        <v>4031</v>
      </c>
      <c r="S4" s="20" t="s">
        <v>4052</v>
      </c>
      <c r="T4" s="21" t="s">
        <v>4053</v>
      </c>
      <c r="U4" s="1" t="s">
        <v>4088</v>
      </c>
    </row>
    <row r="5" spans="1:21">
      <c r="A5" t="s">
        <v>32</v>
      </c>
      <c r="B5" s="6" t="str">
        <f>HYPERLINK("http://www.ncbi.nlm.nih.gov/gene/15227", "15227")</f>
        <v>15227</v>
      </c>
      <c r="C5" s="6" t="str">
        <f>HYPERLINK("http://www.ncbi.nlm.nih.gov/gene/2294", "2294")</f>
        <v>2294</v>
      </c>
      <c r="D5" t="str">
        <f>"Foxf1"</f>
        <v>Foxf1</v>
      </c>
      <c r="E5" t="s">
        <v>33</v>
      </c>
      <c r="F5" t="s">
        <v>43</v>
      </c>
      <c r="H5" s="515">
        <v>1</v>
      </c>
      <c r="I5" s="353">
        <v>5.3826625820267404</v>
      </c>
      <c r="J5" s="353">
        <v>5.3833914046775799</v>
      </c>
      <c r="K5" s="353">
        <v>5.3841573643367298</v>
      </c>
      <c r="L5" s="2658">
        <v>5.4265574457412002</v>
      </c>
      <c r="M5" s="1442">
        <v>5.0370533354353402</v>
      </c>
      <c r="N5" s="1343">
        <v>5.2726195597143697</v>
      </c>
      <c r="O5" s="1795">
        <v>8.2158490392841692</v>
      </c>
      <c r="P5" s="2481">
        <v>8.0830566101458494</v>
      </c>
      <c r="Q5" s="2657">
        <v>8.0995189612396903</v>
      </c>
      <c r="R5" s="1343">
        <v>5.4040882314964698</v>
      </c>
      <c r="S5" s="1343">
        <v>5.3023441991546196</v>
      </c>
      <c r="T5" s="1809">
        <v>5.1809155637954598</v>
      </c>
      <c r="U5" t="s">
        <v>4054</v>
      </c>
    </row>
    <row r="6" spans="1:21">
      <c r="A6" t="s">
        <v>119</v>
      </c>
      <c r="B6" s="6" t="str">
        <f>HYPERLINK("http://www.ncbi.nlm.nih.gov/gene/18740", "18740")</f>
        <v>18740</v>
      </c>
      <c r="C6" s="6" t="str">
        <f>HYPERLINK("http://www.ncbi.nlm.nih.gov/gene/5307", "5307")</f>
        <v>5307</v>
      </c>
      <c r="D6" t="str">
        <f>"Pitx1"</f>
        <v>Pitx1</v>
      </c>
      <c r="E6" t="s">
        <v>120</v>
      </c>
      <c r="F6" t="s">
        <v>102</v>
      </c>
      <c r="H6" s="515">
        <v>1</v>
      </c>
      <c r="I6" s="353">
        <v>3.9860608163149802</v>
      </c>
      <c r="J6" s="467">
        <v>3.3583626754115401</v>
      </c>
      <c r="K6" s="467">
        <v>3.3089935666618802</v>
      </c>
      <c r="L6" s="2652">
        <v>3.3118390324241598</v>
      </c>
      <c r="M6" s="1442">
        <v>3.3754935812713902</v>
      </c>
      <c r="N6" s="1442">
        <v>3.0033560810162299</v>
      </c>
      <c r="O6" s="1795">
        <v>7.8370156627657304</v>
      </c>
      <c r="P6" s="2481">
        <v>7.6827647057190402</v>
      </c>
      <c r="Q6" s="2657">
        <v>7.7543752105389201</v>
      </c>
      <c r="R6" s="1343">
        <v>3.7743476717034201</v>
      </c>
      <c r="S6" s="1343">
        <v>4.0783962151092696</v>
      </c>
      <c r="T6" s="1604">
        <v>4.0307738423041597</v>
      </c>
    </row>
    <row r="7" spans="1:21">
      <c r="A7" t="s">
        <v>219</v>
      </c>
      <c r="B7" s="6" t="str">
        <f>HYPERLINK("http://www.ncbi.nlm.nih.gov/gene/18741", "18741")</f>
        <v>18741</v>
      </c>
      <c r="C7" s="6" t="str">
        <f>HYPERLINK("http://www.ncbi.nlm.nih.gov/gene/5308", "5308")</f>
        <v>5308</v>
      </c>
      <c r="D7" t="str">
        <f>"Pitx2"</f>
        <v>Pitx2</v>
      </c>
      <c r="E7" t="s">
        <v>220</v>
      </c>
      <c r="F7" t="s">
        <v>221</v>
      </c>
      <c r="G7" t="s">
        <v>222</v>
      </c>
      <c r="H7" s="515">
        <v>1</v>
      </c>
      <c r="I7" s="467">
        <v>4.43258239087608</v>
      </c>
      <c r="J7" s="467">
        <v>4.3588228336441999</v>
      </c>
      <c r="K7" s="467">
        <v>4.5691796321945297</v>
      </c>
      <c r="L7" s="2652">
        <v>4.0873390812110699</v>
      </c>
      <c r="M7" s="1442">
        <v>4.3326288091540803</v>
      </c>
      <c r="N7" s="1442">
        <v>4.1439203105524003</v>
      </c>
      <c r="O7" s="1792">
        <v>8.6412466089162905</v>
      </c>
      <c r="P7" s="2481">
        <v>8.7076696580536392</v>
      </c>
      <c r="Q7" s="2657">
        <v>8.7438712643611805</v>
      </c>
      <c r="R7" s="1401">
        <v>5.3514993139465803</v>
      </c>
      <c r="S7" s="1401">
        <v>5.4790126829524599</v>
      </c>
      <c r="T7" s="1609">
        <v>5.71869891413135</v>
      </c>
    </row>
    <row r="8" spans="1:21">
      <c r="A8" t="s">
        <v>110</v>
      </c>
      <c r="B8" s="6" t="str">
        <f>HYPERLINK("http://www.ncbi.nlm.nih.gov/gene/14632", "14632")</f>
        <v>14632</v>
      </c>
      <c r="C8" s="6" t="str">
        <f>HYPERLINK("http://www.ncbi.nlm.nih.gov/gene/2735", "2735")</f>
        <v>2735</v>
      </c>
      <c r="D8" t="str">
        <f>"Gli1"</f>
        <v>Gli1</v>
      </c>
      <c r="E8" t="s">
        <v>111</v>
      </c>
      <c r="F8" t="s">
        <v>121</v>
      </c>
      <c r="G8" t="s">
        <v>135</v>
      </c>
      <c r="H8" s="515">
        <v>1</v>
      </c>
      <c r="I8" s="467">
        <v>3.89812276319805</v>
      </c>
      <c r="J8" s="353">
        <v>4.0600387200376096</v>
      </c>
      <c r="K8" s="467">
        <v>3.84914372662494</v>
      </c>
      <c r="L8" s="2658">
        <v>4.1088832781749902</v>
      </c>
      <c r="M8" s="1442">
        <v>4.0318298532470003</v>
      </c>
      <c r="N8" s="1442">
        <v>3.8552593727693898</v>
      </c>
      <c r="O8" s="1792">
        <v>5.9024870376283802</v>
      </c>
      <c r="P8" s="2481">
        <v>6.10406648452014</v>
      </c>
      <c r="Q8" s="2656">
        <v>5.8121516897232697</v>
      </c>
      <c r="R8" s="1401">
        <v>4.5048925653156804</v>
      </c>
      <c r="S8" s="1343">
        <v>4.2722304995638201</v>
      </c>
      <c r="T8" s="1604">
        <v>4.3255309368630703</v>
      </c>
    </row>
    <row r="9" spans="1:21">
      <c r="A9" t="s">
        <v>236</v>
      </c>
      <c r="B9" s="6" t="str">
        <f>HYPERLINK("http://www.ncbi.nlm.nih.gov/gene/22413", "22413")</f>
        <v>22413</v>
      </c>
      <c r="C9" s="6" t="str">
        <f>HYPERLINK("http://www.ncbi.nlm.nih.gov/gene/7472", "7472")</f>
        <v>7472</v>
      </c>
      <c r="D9" t="str">
        <f>"Wnt2"</f>
        <v>Wnt2</v>
      </c>
      <c r="E9" t="s">
        <v>237</v>
      </c>
      <c r="F9" t="s">
        <v>251</v>
      </c>
      <c r="G9" t="s">
        <v>252</v>
      </c>
      <c r="H9" s="515">
        <v>1</v>
      </c>
      <c r="I9" s="467">
        <v>3.7207064611895699</v>
      </c>
      <c r="J9" s="467">
        <v>3.7715761682440698</v>
      </c>
      <c r="K9" s="467">
        <v>3.5953901541838702</v>
      </c>
      <c r="L9" s="2652">
        <v>3.4440458767623801</v>
      </c>
      <c r="M9" s="1442">
        <v>3.7219977588650601</v>
      </c>
      <c r="N9" s="1442">
        <v>3.8183287815615801</v>
      </c>
      <c r="O9" s="1795">
        <v>6.7730152314030398</v>
      </c>
      <c r="P9" s="1164">
        <v>6.5521308021263902</v>
      </c>
      <c r="Q9" s="2656">
        <v>6.4580943522895202</v>
      </c>
      <c r="R9" s="1401">
        <v>4.5337319398701199</v>
      </c>
      <c r="S9" s="1401">
        <v>4.6971057128754197</v>
      </c>
      <c r="T9" s="1609">
        <v>4.4489011419288103</v>
      </c>
    </row>
    <row r="10" spans="1:21">
      <c r="A10" t="s">
        <v>338</v>
      </c>
      <c r="B10" s="6" t="str">
        <f>HYPERLINK("http://www.ncbi.nlm.nih.gov/gene/21386", "21386")</f>
        <v>21386</v>
      </c>
      <c r="C10" s="6" t="str">
        <f>HYPERLINK("http://www.ncbi.nlm.nih.gov/gene/6926", "6926")</f>
        <v>6926</v>
      </c>
      <c r="D10" t="str">
        <f>"Tbx3"</f>
        <v>Tbx3</v>
      </c>
      <c r="E10" t="s">
        <v>339</v>
      </c>
      <c r="F10" t="s">
        <v>371</v>
      </c>
      <c r="H10" s="515">
        <v>1</v>
      </c>
      <c r="I10" s="512">
        <v>5.9930697006116898</v>
      </c>
      <c r="J10" s="514">
        <v>5.7200731115267001</v>
      </c>
      <c r="K10" s="512">
        <v>6.2265266874001499</v>
      </c>
      <c r="L10" s="2681">
        <v>8.0565497018698604</v>
      </c>
      <c r="M10" s="1401">
        <v>8.1343321452450592</v>
      </c>
      <c r="N10" s="1532">
        <v>8.3890877418606298</v>
      </c>
      <c r="O10" s="1781">
        <v>9.0131678598067797</v>
      </c>
      <c r="P10" s="1508">
        <v>9.0845161212798509</v>
      </c>
      <c r="Q10" s="2680">
        <v>9.1507791705875103</v>
      </c>
      <c r="R10" s="1615">
        <v>8.8225608068325307</v>
      </c>
      <c r="S10" s="1615">
        <v>8.6637909996687004</v>
      </c>
      <c r="T10" s="1731">
        <v>8.6769041548549595</v>
      </c>
    </row>
    <row r="11" spans="1:21">
      <c r="A11" t="s">
        <v>52</v>
      </c>
      <c r="B11" s="6" t="str">
        <f>HYPERLINK("http://www.ncbi.nlm.nih.gov/gene/21387", "21387")</f>
        <v>21387</v>
      </c>
      <c r="C11" s="6" t="str">
        <f>HYPERLINK("http://www.ncbi.nlm.nih.gov/gene/9496", "9496")</f>
        <v>9496</v>
      </c>
      <c r="D11" t="str">
        <f>"Tbx4"</f>
        <v>Tbx4</v>
      </c>
      <c r="E11" t="s">
        <v>53</v>
      </c>
      <c r="F11" t="s">
        <v>54</v>
      </c>
      <c r="H11" s="515">
        <v>1</v>
      </c>
      <c r="I11" s="353">
        <v>4.9392227774404001</v>
      </c>
      <c r="J11" s="353">
        <v>4.9111160590479104</v>
      </c>
      <c r="K11" s="353">
        <v>4.6065509509048104</v>
      </c>
      <c r="L11" s="2652">
        <v>4.0714133047545999</v>
      </c>
      <c r="M11" s="1442">
        <v>4.4399906382324001</v>
      </c>
      <c r="N11" s="1442">
        <v>4.2034047814767304</v>
      </c>
      <c r="O11" s="1795">
        <v>8.1250494137764004</v>
      </c>
      <c r="P11" s="2481">
        <v>8.1779327336798602</v>
      </c>
      <c r="Q11" s="2657">
        <v>8.1456191949258994</v>
      </c>
      <c r="R11" s="1343">
        <v>4.8211841346199602</v>
      </c>
      <c r="S11" s="1343">
        <v>4.8650912567962603</v>
      </c>
      <c r="T11" s="1604">
        <v>4.8212426048704096</v>
      </c>
    </row>
    <row r="12" spans="1:21">
      <c r="A12" t="s">
        <v>223</v>
      </c>
      <c r="B12" s="6" t="str">
        <f>HYPERLINK("http://www.ncbi.nlm.nih.gov/gene/21388", "21388")</f>
        <v>21388</v>
      </c>
      <c r="C12" s="6" t="str">
        <f>HYPERLINK("http://www.ncbi.nlm.nih.gov/gene/6910", "6910")</f>
        <v>6910</v>
      </c>
      <c r="D12" t="str">
        <f>"Tbx5"</f>
        <v>Tbx5</v>
      </c>
      <c r="E12" t="s">
        <v>224</v>
      </c>
      <c r="F12" t="s">
        <v>225</v>
      </c>
      <c r="H12" s="515">
        <v>1</v>
      </c>
      <c r="I12" s="353">
        <v>4.8729503849434499</v>
      </c>
      <c r="J12" s="467">
        <v>4.6102829797488596</v>
      </c>
      <c r="K12" s="353">
        <v>4.6739399555937302</v>
      </c>
      <c r="L12" s="2652">
        <v>4.1746316752233001</v>
      </c>
      <c r="M12" s="1442">
        <v>4.0518669277030703</v>
      </c>
      <c r="N12" s="1442">
        <v>4.0346837574769099</v>
      </c>
      <c r="O12" s="1792">
        <v>8.4606896239759593</v>
      </c>
      <c r="P12" s="2481">
        <v>8.6887205460501207</v>
      </c>
      <c r="Q12" s="2657">
        <v>8.6090460118164405</v>
      </c>
      <c r="R12" s="1401">
        <v>5.3674738567048097</v>
      </c>
      <c r="S12" s="1401">
        <v>5.4016360589313503</v>
      </c>
      <c r="T12" s="1609">
        <v>5.4068951843749202</v>
      </c>
    </row>
    <row r="13" spans="1:21">
      <c r="A13" t="s">
        <v>263</v>
      </c>
      <c r="B13" s="6" t="str">
        <f>HYPERLINK("http://www.ncbi.nlm.nih.gov/gene/12638", "12638")</f>
        <v>12638</v>
      </c>
      <c r="C13" s="6" t="str">
        <f>HYPERLINK("http://www.ncbi.nlm.nih.gov/gene/1080", "1080")</f>
        <v>1080</v>
      </c>
      <c r="D13" t="str">
        <f>"Cftr"</f>
        <v>Cftr</v>
      </c>
      <c r="E13" t="s">
        <v>264</v>
      </c>
      <c r="F13" t="s">
        <v>267</v>
      </c>
      <c r="G13" t="s">
        <v>268</v>
      </c>
      <c r="H13" s="515">
        <v>1</v>
      </c>
      <c r="I13" s="467">
        <v>2.3158652529656201</v>
      </c>
      <c r="J13" s="467">
        <v>2.3999109145919801</v>
      </c>
      <c r="K13" s="512">
        <v>2.0232909469307301</v>
      </c>
      <c r="L13" s="2652">
        <v>2.537540050639</v>
      </c>
      <c r="M13" s="1442">
        <v>2.5362908788135998</v>
      </c>
      <c r="N13" s="1442">
        <v>2.3031521100137602</v>
      </c>
      <c r="O13" s="1781">
        <v>5.3009178375718404</v>
      </c>
      <c r="P13" s="1508">
        <v>5.0517145632593303</v>
      </c>
      <c r="Q13" s="2657">
        <v>5.6773545589669503</v>
      </c>
      <c r="R13" s="1615">
        <v>4.03633607797987</v>
      </c>
      <c r="S13" s="1532">
        <v>3.8243141123897302</v>
      </c>
      <c r="T13" s="1609">
        <v>3.7090080704841202</v>
      </c>
    </row>
    <row r="14" spans="1:21">
      <c r="A14" t="s">
        <v>227</v>
      </c>
      <c r="B14" s="6" t="str">
        <f>HYPERLINK("http://www.ncbi.nlm.nih.gov/gene/22139", "22139")</f>
        <v>22139</v>
      </c>
      <c r="C14" s="6" t="str">
        <f>HYPERLINK("http://www.ncbi.nlm.nih.gov/gene/7276", "7276")</f>
        <v>7276</v>
      </c>
      <c r="D14" t="str">
        <f>"Ttr"</f>
        <v>Ttr</v>
      </c>
      <c r="E14" t="s">
        <v>228</v>
      </c>
      <c r="F14" t="s">
        <v>235</v>
      </c>
      <c r="H14" s="515">
        <v>1</v>
      </c>
      <c r="I14" s="467">
        <v>3.8309891164896701</v>
      </c>
      <c r="J14" s="467">
        <v>3.8012834250808201</v>
      </c>
      <c r="K14" s="467">
        <v>3.5795388545353899</v>
      </c>
      <c r="L14" s="2652">
        <v>3.7778467652664798</v>
      </c>
      <c r="M14" s="1442">
        <v>4.0159588052618904</v>
      </c>
      <c r="N14" s="1442">
        <v>4.0622598748835701</v>
      </c>
      <c r="O14" s="1792">
        <v>7.24269606723142</v>
      </c>
      <c r="P14" s="2481">
        <v>7.6512076154477198</v>
      </c>
      <c r="Q14" s="2680">
        <v>6.9095587133971197</v>
      </c>
      <c r="R14" s="1401">
        <v>5.2200942733798898</v>
      </c>
      <c r="S14" s="1401">
        <v>5.2473123284834404</v>
      </c>
      <c r="T14" s="1604">
        <v>4.55896578306983</v>
      </c>
    </row>
    <row r="15" spans="1:21">
      <c r="A15" t="s">
        <v>448</v>
      </c>
      <c r="B15" s="6" t="str">
        <f>HYPERLINK("http://www.ncbi.nlm.nih.gov/gene/56492", "56492")</f>
        <v>56492</v>
      </c>
      <c r="C15" s="6" t="str">
        <f>HYPERLINK("http://www.ncbi.nlm.nih.gov/gene/51208", "51208")</f>
        <v>51208</v>
      </c>
      <c r="D15" t="str">
        <f>"Cldn18"</f>
        <v>Cldn18</v>
      </c>
      <c r="E15" t="s">
        <v>449</v>
      </c>
      <c r="F15" t="s">
        <v>450</v>
      </c>
      <c r="G15" t="s">
        <v>451</v>
      </c>
      <c r="H15" s="516">
        <v>2</v>
      </c>
      <c r="I15" s="480">
        <v>3.3465989235455198</v>
      </c>
      <c r="J15" s="353">
        <v>3.2545693741597899</v>
      </c>
      <c r="K15" s="512">
        <v>2.7187299736442099</v>
      </c>
      <c r="L15" s="2658">
        <v>3.1837705682697801</v>
      </c>
      <c r="M15" s="1343">
        <v>3.20048942664376</v>
      </c>
      <c r="N15" s="1442">
        <v>3.019759737227</v>
      </c>
      <c r="O15" s="1810">
        <v>3.0180250311805099</v>
      </c>
      <c r="P15" s="1343">
        <v>3.0477456935907599</v>
      </c>
      <c r="Q15" s="2670">
        <v>2.9846151622992498</v>
      </c>
      <c r="R15" s="1508">
        <v>4.2130624910542904</v>
      </c>
      <c r="S15" s="2481">
        <v>4.79980629658127</v>
      </c>
      <c r="T15" s="1703">
        <v>3.9404238483532499</v>
      </c>
      <c r="U15" t="s">
        <v>4055</v>
      </c>
    </row>
    <row r="16" spans="1:21">
      <c r="A16" t="s">
        <v>464</v>
      </c>
      <c r="B16" s="6" t="str">
        <f>HYPERLINK("http://www.ncbi.nlm.nih.gov/gene/20389", "20389")</f>
        <v>20389</v>
      </c>
      <c r="C16" s="6" t="str">
        <f>HYPERLINK("http://www.ncbi.nlm.nih.gov/gene/6440", "6440")</f>
        <v>6440</v>
      </c>
      <c r="D16" t="str">
        <f>"Sftpc"</f>
        <v>Sftpc</v>
      </c>
      <c r="E16" t="s">
        <v>465</v>
      </c>
      <c r="F16" t="s">
        <v>437</v>
      </c>
      <c r="H16" s="516">
        <v>2</v>
      </c>
      <c r="I16" s="353">
        <v>3.52040381263431</v>
      </c>
      <c r="J16" s="480">
        <v>3.73328800658479</v>
      </c>
      <c r="K16" s="353">
        <v>3.5414364233756199</v>
      </c>
      <c r="L16" s="2652">
        <v>3.2688150090991899</v>
      </c>
      <c r="M16" s="1343">
        <v>3.59602332558699</v>
      </c>
      <c r="N16" s="1442">
        <v>3.30927169193808</v>
      </c>
      <c r="O16" s="1810">
        <v>3.26186003191658</v>
      </c>
      <c r="P16" s="1343">
        <v>3.5143907301969199</v>
      </c>
      <c r="Q16" s="2670">
        <v>3.2990588348374401</v>
      </c>
      <c r="R16" s="1164">
        <v>4.5908760947788601</v>
      </c>
      <c r="S16" s="2481">
        <v>4.9681246809229904</v>
      </c>
      <c r="T16" s="1703">
        <v>4.4129318821577703</v>
      </c>
    </row>
    <row r="17" spans="1:20">
      <c r="A17" t="s">
        <v>569</v>
      </c>
      <c r="B17" s="6" t="str">
        <f>HYPERLINK("http://www.ncbi.nlm.nih.gov/gene/20423", "20423")</f>
        <v>20423</v>
      </c>
      <c r="C17" s="6" t="str">
        <f>HYPERLINK("http://www.ncbi.nlm.nih.gov/gene/6469", "6469")</f>
        <v>6469</v>
      </c>
      <c r="D17" t="str">
        <f>"Shh"</f>
        <v>Shh</v>
      </c>
      <c r="E17" t="s">
        <v>570</v>
      </c>
      <c r="F17" t="s">
        <v>575</v>
      </c>
      <c r="G17" t="s">
        <v>135</v>
      </c>
      <c r="H17" s="516">
        <v>2</v>
      </c>
      <c r="I17" s="467">
        <v>2.8952230458423198</v>
      </c>
      <c r="J17" s="467">
        <v>2.8928754235235199</v>
      </c>
      <c r="K17" s="467">
        <v>2.6681510560985</v>
      </c>
      <c r="L17" s="2658">
        <v>3.1979680279215801</v>
      </c>
      <c r="M17" s="1442">
        <v>2.9981441551423802</v>
      </c>
      <c r="N17" s="1442">
        <v>2.6572870510632498</v>
      </c>
      <c r="O17" s="1634">
        <v>3.4619267359618102</v>
      </c>
      <c r="P17" s="1532">
        <v>4.1554277764570804</v>
      </c>
      <c r="Q17" s="2674">
        <v>3.77485059525866</v>
      </c>
      <c r="R17" s="1164">
        <v>5.9232528723266196</v>
      </c>
      <c r="S17" s="2481">
        <v>6.0342802203133399</v>
      </c>
      <c r="T17" s="1268">
        <v>5.8166378854558101</v>
      </c>
    </row>
    <row r="18" spans="1:20">
      <c r="A18" t="s">
        <v>692</v>
      </c>
      <c r="B18" s="6" t="str">
        <f>HYPERLINK("http://www.ncbi.nlm.nih.gov/gene/270120", "270120")</f>
        <v>270120</v>
      </c>
      <c r="C18" s="6" t="str">
        <f>HYPERLINK("http://www.ncbi.nlm.nih.gov/gene/120114", "120114")</f>
        <v>120114</v>
      </c>
      <c r="D18" t="str">
        <f>"Fat3"</f>
        <v>Fat3</v>
      </c>
      <c r="E18" t="s">
        <v>693</v>
      </c>
      <c r="F18" t="s">
        <v>675</v>
      </c>
      <c r="H18" s="516">
        <v>2</v>
      </c>
      <c r="I18" s="504">
        <v>5.5015935630038202</v>
      </c>
      <c r="J18" s="476">
        <v>5.1761986949296199</v>
      </c>
      <c r="K18" s="498">
        <v>5.6289821799577497</v>
      </c>
      <c r="L18" s="2652">
        <v>4.3443318840181098</v>
      </c>
      <c r="M18" s="1442">
        <v>4.0921419853289196</v>
      </c>
      <c r="N18" s="1442">
        <v>4.2103538164342398</v>
      </c>
      <c r="O18" s="1726">
        <v>3.6963042308210601</v>
      </c>
      <c r="P18" s="1442">
        <v>4.1879296178304504</v>
      </c>
      <c r="Q18" s="2670">
        <v>4.2452801117529599</v>
      </c>
      <c r="R18" s="1164">
        <v>6.1628472381354902</v>
      </c>
      <c r="S18" s="1508">
        <v>5.7763535978669802</v>
      </c>
      <c r="T18" s="1703">
        <v>5.7953311587452596</v>
      </c>
    </row>
    <row r="19" spans="1:20">
      <c r="A19" t="s">
        <v>676</v>
      </c>
      <c r="B19" s="6" t="str">
        <f>HYPERLINK("http://www.ncbi.nlm.nih.gov/gene/214968", "214968")</f>
        <v>214968</v>
      </c>
      <c r="C19" s="6" t="str">
        <f>HYPERLINK("http://www.ncbi.nlm.nih.gov/gene/80031", "80031")</f>
        <v>80031</v>
      </c>
      <c r="D19" t="str">
        <f>"Sema6d"</f>
        <v>Sema6d</v>
      </c>
      <c r="E19" t="s">
        <v>696</v>
      </c>
      <c r="F19" t="s">
        <v>686</v>
      </c>
      <c r="G19" t="s">
        <v>604</v>
      </c>
      <c r="H19" s="516">
        <v>2</v>
      </c>
      <c r="I19" s="504">
        <v>7.9385089123031198</v>
      </c>
      <c r="J19" s="504">
        <v>7.8623636603503302</v>
      </c>
      <c r="K19" s="504">
        <v>7.9036662303630703</v>
      </c>
      <c r="L19" s="2644">
        <v>5.8645329802194901</v>
      </c>
      <c r="M19" s="1343">
        <v>6.5269165994089899</v>
      </c>
      <c r="N19" s="1442">
        <v>6.0709517845972201</v>
      </c>
      <c r="O19" s="1726">
        <v>5.9664109869555899</v>
      </c>
      <c r="P19" s="1442">
        <v>6.3433326675614197</v>
      </c>
      <c r="Q19" s="2670">
        <v>6.1662025531902298</v>
      </c>
      <c r="R19" s="1508">
        <v>8.6555477863126704</v>
      </c>
      <c r="S19" s="1508">
        <v>8.3330661523014307</v>
      </c>
      <c r="T19" s="1703">
        <v>8.3715207801286606</v>
      </c>
    </row>
    <row r="20" spans="1:20">
      <c r="A20" t="s">
        <v>848</v>
      </c>
      <c r="B20" s="6" t="str">
        <f>HYPERLINK("http://www.ncbi.nlm.nih.gov/gene/16842", "16842")</f>
        <v>16842</v>
      </c>
      <c r="C20" s="6" t="str">
        <f>HYPERLINK("http://www.ncbi.nlm.nih.gov/gene/51176", "51176")</f>
        <v>51176</v>
      </c>
      <c r="D20" t="str">
        <f>"Lef1"</f>
        <v>Lef1</v>
      </c>
      <c r="E20" t="s">
        <v>849</v>
      </c>
      <c r="F20" t="s">
        <v>854</v>
      </c>
      <c r="G20" t="s">
        <v>861</v>
      </c>
      <c r="H20" s="516">
        <v>2</v>
      </c>
      <c r="I20" s="512">
        <v>3.8660649103314801</v>
      </c>
      <c r="J20" s="467">
        <v>4.3674438893126197</v>
      </c>
      <c r="K20" s="512">
        <v>3.8568527873783398</v>
      </c>
      <c r="L20" s="2652">
        <v>4.2838450166348103</v>
      </c>
      <c r="M20" s="1442">
        <v>4.5029972422828601</v>
      </c>
      <c r="N20" s="1442">
        <v>4.2426680273648598</v>
      </c>
      <c r="O20" s="1798">
        <v>7.0669230687338196</v>
      </c>
      <c r="P20" s="1615">
        <v>7.3222963185057202</v>
      </c>
      <c r="Q20" s="2666">
        <v>6.8908152095570303</v>
      </c>
      <c r="R20" s="1508">
        <v>8.4065975848379395</v>
      </c>
      <c r="S20" s="1508">
        <v>8.1480482672276509</v>
      </c>
      <c r="T20" s="1703">
        <v>7.9771890859884396</v>
      </c>
    </row>
    <row r="21" spans="1:20">
      <c r="A21" t="s">
        <v>937</v>
      </c>
      <c r="B21" s="6" t="str">
        <f>HYPERLINK("http://www.ncbi.nlm.nih.gov/gene/15375", "15375")</f>
        <v>15375</v>
      </c>
      <c r="C21" s="6" t="str">
        <f>HYPERLINK("http://www.ncbi.nlm.nih.gov/gene/3169", "3169")</f>
        <v>3169</v>
      </c>
      <c r="D21" t="str">
        <f>"Foxa1"</f>
        <v>Foxa1</v>
      </c>
      <c r="E21" t="s">
        <v>938</v>
      </c>
      <c r="F21" t="s">
        <v>939</v>
      </c>
      <c r="H21" s="516">
        <v>2</v>
      </c>
      <c r="I21" s="467">
        <v>4.0482857711397999</v>
      </c>
      <c r="J21" s="467">
        <v>3.2920012351943901</v>
      </c>
      <c r="K21" s="467">
        <v>3.7309087842086099</v>
      </c>
      <c r="L21" s="2652">
        <v>3.7305725027460399</v>
      </c>
      <c r="M21" s="1442">
        <v>3.4724908538148802</v>
      </c>
      <c r="N21" s="1442">
        <v>3.4857042896063501</v>
      </c>
      <c r="O21" s="1546">
        <v>5.8121319952546298</v>
      </c>
      <c r="P21" s="1532">
        <v>5.8785777315322001</v>
      </c>
      <c r="Q21" s="2682">
        <v>6.01433829809835</v>
      </c>
      <c r="R21" s="1508">
        <v>7.91748665443746</v>
      </c>
      <c r="S21" s="1164">
        <v>8.1135307463430895</v>
      </c>
      <c r="T21" s="1268">
        <v>8.2065894731830493</v>
      </c>
    </row>
    <row r="22" spans="1:20">
      <c r="A22" t="s">
        <v>968</v>
      </c>
      <c r="B22" s="6" t="str">
        <f>HYPERLINK("http://www.ncbi.nlm.nih.gov/gene/16372", "16372")</f>
        <v>16372</v>
      </c>
      <c r="C22" s="6" t="str">
        <f>HYPERLINK("http://www.ncbi.nlm.nih.gov/gene/153572", "153572")</f>
        <v>153572</v>
      </c>
      <c r="D22" t="str">
        <f>"Irx2"</f>
        <v>Irx2</v>
      </c>
      <c r="E22" t="s">
        <v>969</v>
      </c>
      <c r="F22" t="s">
        <v>614</v>
      </c>
      <c r="H22" s="516">
        <v>2</v>
      </c>
      <c r="I22" s="353">
        <v>4.7817756987418596</v>
      </c>
      <c r="J22" s="467">
        <v>4.3975550958661396</v>
      </c>
      <c r="K22" s="353">
        <v>4.7097283143220299</v>
      </c>
      <c r="L22" s="2652">
        <v>4.4288075523721702</v>
      </c>
      <c r="M22" s="1442">
        <v>4.5049462279986896</v>
      </c>
      <c r="N22" s="1442">
        <v>4.4372014201776597</v>
      </c>
      <c r="O22" s="1806">
        <v>5.1141168726725699</v>
      </c>
      <c r="P22" s="1401">
        <v>5.0462421143378</v>
      </c>
      <c r="Q22" s="2457">
        <v>4.88613669583229</v>
      </c>
      <c r="R22" s="2481">
        <v>6.8613598792305197</v>
      </c>
      <c r="S22" s="1164">
        <v>6.7422551162959197</v>
      </c>
      <c r="T22" s="1222">
        <v>6.7940084681110902</v>
      </c>
    </row>
    <row r="23" spans="1:20">
      <c r="A23" t="s">
        <v>790</v>
      </c>
      <c r="B23" s="6" t="str">
        <f>HYPERLINK("http://www.ncbi.nlm.nih.gov/gene/12563", "12563")</f>
        <v>12563</v>
      </c>
      <c r="C23" s="6" t="str">
        <f>HYPERLINK("http://www.ncbi.nlm.nih.gov/gene/1004", "1004")</f>
        <v>1004</v>
      </c>
      <c r="D23" t="str">
        <f>"Cdh6"</f>
        <v>Cdh6</v>
      </c>
      <c r="E23" t="s">
        <v>791</v>
      </c>
      <c r="F23" t="s">
        <v>792</v>
      </c>
      <c r="H23" s="516">
        <v>2</v>
      </c>
      <c r="I23" s="467">
        <v>4.88529663876845</v>
      </c>
      <c r="J23" s="512">
        <v>3.8667013594216302</v>
      </c>
      <c r="K23" s="467">
        <v>4.3725658663799898</v>
      </c>
      <c r="L23" s="2658">
        <v>5.5426891335576602</v>
      </c>
      <c r="M23" s="1343">
        <v>5.5440670452398804</v>
      </c>
      <c r="N23" s="1343">
        <v>5.1286203579459597</v>
      </c>
      <c r="O23" s="1634">
        <v>5.4411640449526999</v>
      </c>
      <c r="P23" s="1343">
        <v>5.3078455110648903</v>
      </c>
      <c r="Q23" s="2457">
        <v>5.4824690939069001</v>
      </c>
      <c r="R23" s="1164">
        <v>8.8952833360330192</v>
      </c>
      <c r="S23" s="2481">
        <v>9.09470481698588</v>
      </c>
      <c r="T23" s="1268">
        <v>8.9576234155837504</v>
      </c>
    </row>
    <row r="24" spans="1:20">
      <c r="A24" t="s">
        <v>757</v>
      </c>
      <c r="B24" s="6" t="str">
        <f>HYPERLINK("http://www.ncbi.nlm.nih.gov/gene/20309", "20309")</f>
        <v>20309</v>
      </c>
      <c r="C24" s="6" t="str">
        <f>HYPERLINK("http://www.ncbi.nlm.nih.gov/gene/", "")</f>
        <v/>
      </c>
      <c r="D24" t="str">
        <f>"Cxcl15"</f>
        <v>Cxcl15</v>
      </c>
      <c r="E24" t="s">
        <v>758</v>
      </c>
      <c r="F24" t="s">
        <v>759</v>
      </c>
      <c r="G24" t="s">
        <v>60</v>
      </c>
      <c r="H24" s="516">
        <v>2</v>
      </c>
      <c r="I24" s="512">
        <v>3.5933967893880601</v>
      </c>
      <c r="J24" s="467">
        <v>3.8210978294381901</v>
      </c>
      <c r="K24" s="512">
        <v>3.46577486622509</v>
      </c>
      <c r="L24" s="2658">
        <v>4.9239691289823</v>
      </c>
      <c r="M24" s="1401">
        <v>5.6134825810519402</v>
      </c>
      <c r="N24" s="1401">
        <v>5.6763905004529001</v>
      </c>
      <c r="O24" s="1806">
        <v>5.5921214033113502</v>
      </c>
      <c r="P24" s="1343">
        <v>5.4470902598542503</v>
      </c>
      <c r="Q24" s="2674">
        <v>5.7594154072807804</v>
      </c>
      <c r="R24" s="1508">
        <v>8.5278053925575001</v>
      </c>
      <c r="S24" s="1164">
        <v>8.7959639168328607</v>
      </c>
      <c r="T24" s="1268">
        <v>8.8927305456193206</v>
      </c>
    </row>
    <row r="25" spans="1:20">
      <c r="A25" t="s">
        <v>594</v>
      </c>
      <c r="B25" s="6" t="str">
        <f>HYPERLINK("http://www.ncbi.nlm.nih.gov/gene/110075", "110075")</f>
        <v>110075</v>
      </c>
      <c r="C25" s="6" t="str">
        <f>HYPERLINK("http://www.ncbi.nlm.nih.gov/gene/651", "651")</f>
        <v>651</v>
      </c>
      <c r="D25" t="str">
        <f>"Bmp3"</f>
        <v>Bmp3</v>
      </c>
      <c r="E25" t="s">
        <v>595</v>
      </c>
      <c r="F25" t="s">
        <v>596</v>
      </c>
      <c r="H25" s="516">
        <v>2</v>
      </c>
      <c r="I25" s="353">
        <v>3.7160429819058098</v>
      </c>
      <c r="J25" s="353">
        <v>3.7295362078586001</v>
      </c>
      <c r="K25" s="467">
        <v>3.3951498949990402</v>
      </c>
      <c r="L25" s="2652">
        <v>3.5120870018253001</v>
      </c>
      <c r="M25" s="1442">
        <v>3.2456641132299602</v>
      </c>
      <c r="N25" s="1343">
        <v>3.6753255956270801</v>
      </c>
      <c r="O25" s="1634">
        <v>3.6512650116678902</v>
      </c>
      <c r="P25" s="1442">
        <v>3.4382976587995202</v>
      </c>
      <c r="Q25" s="2457">
        <v>3.56785055277104</v>
      </c>
      <c r="R25" s="1508">
        <v>4.5167466855522997</v>
      </c>
      <c r="S25" s="2481">
        <v>5.0083426532472002</v>
      </c>
      <c r="T25" s="1222">
        <v>4.8216267006137796</v>
      </c>
    </row>
    <row r="26" spans="1:20">
      <c r="A26" t="s">
        <v>627</v>
      </c>
      <c r="B26" s="6" t="str">
        <f>HYPERLINK("http://www.ncbi.nlm.nih.gov/gene/16774", "16774")</f>
        <v>16774</v>
      </c>
      <c r="C26" s="6" t="str">
        <f>HYPERLINK("http://www.ncbi.nlm.nih.gov/gene/3909", "3909")</f>
        <v>3909</v>
      </c>
      <c r="D26" t="str">
        <f>"Lama3"</f>
        <v>Lama3</v>
      </c>
      <c r="E26" t="s">
        <v>628</v>
      </c>
      <c r="F26" t="s">
        <v>620</v>
      </c>
      <c r="G26" t="s">
        <v>621</v>
      </c>
      <c r="H26" s="516">
        <v>2</v>
      </c>
      <c r="I26" s="480">
        <v>4.1596812698727597</v>
      </c>
      <c r="J26" s="353">
        <v>4.0638387960474098</v>
      </c>
      <c r="K26" s="353">
        <v>3.85175877266524</v>
      </c>
      <c r="L26" s="2652">
        <v>3.46147475566343</v>
      </c>
      <c r="M26" s="1442">
        <v>3.63954261256431</v>
      </c>
      <c r="N26" s="1442">
        <v>3.5097542473610202</v>
      </c>
      <c r="O26" s="1810">
        <v>3.6530693690810701</v>
      </c>
      <c r="P26" s="1442">
        <v>3.45384265178448</v>
      </c>
      <c r="Q26" s="2457">
        <v>3.7308580013260602</v>
      </c>
      <c r="R26" s="2481">
        <v>6.2472918210006796</v>
      </c>
      <c r="S26" s="1164">
        <v>5.9328596492917098</v>
      </c>
      <c r="T26" s="1222">
        <v>6.1125706462137801</v>
      </c>
    </row>
    <row r="27" spans="1:20">
      <c r="A27" t="s">
        <v>841</v>
      </c>
      <c r="B27" s="6" t="str">
        <f>HYPERLINK("http://www.ncbi.nlm.nih.gov/gene/11622", "11622")</f>
        <v>11622</v>
      </c>
      <c r="C27" s="6" t="str">
        <f>HYPERLINK("http://www.ncbi.nlm.nih.gov/gene/196", "196")</f>
        <v>196</v>
      </c>
      <c r="D27" t="str">
        <f>"Ahr"</f>
        <v>Ahr</v>
      </c>
      <c r="E27" t="s">
        <v>842</v>
      </c>
      <c r="F27" t="s">
        <v>843</v>
      </c>
      <c r="H27" s="516">
        <v>2</v>
      </c>
      <c r="I27" s="512">
        <v>4.9428247493723099</v>
      </c>
      <c r="J27" s="512">
        <v>4.8697465232428998</v>
      </c>
      <c r="K27" s="512">
        <v>4.9863812562017902</v>
      </c>
      <c r="L27" s="2681">
        <v>6.3314763073450502</v>
      </c>
      <c r="M27" s="1532">
        <v>6.4731582358236404</v>
      </c>
      <c r="N27" s="1532">
        <v>6.4849293967267698</v>
      </c>
      <c r="O27" s="1806">
        <v>6.3273211701134402</v>
      </c>
      <c r="P27" s="1401">
        <v>6.3490846901128402</v>
      </c>
      <c r="Q27" s="2674">
        <v>6.1337454857134803</v>
      </c>
      <c r="R27" s="1508">
        <v>7.1497932069194299</v>
      </c>
      <c r="S27" s="1508">
        <v>7.1332617493189403</v>
      </c>
      <c r="T27" s="1703">
        <v>7.1199487853922596</v>
      </c>
    </row>
    <row r="28" spans="1:20">
      <c r="A28" t="s">
        <v>529</v>
      </c>
      <c r="B28" s="6" t="str">
        <f>HYPERLINK("http://www.ncbi.nlm.nih.gov/gene/232431", "232431")</f>
        <v>232431</v>
      </c>
      <c r="C28" s="6" t="str">
        <f>HYPERLINK("http://www.ncbi.nlm.nih.gov/gene/9052", "9052")</f>
        <v>9052</v>
      </c>
      <c r="D28" t="str">
        <f>"Gprc5a"</f>
        <v>Gprc5a</v>
      </c>
      <c r="E28" t="s">
        <v>530</v>
      </c>
      <c r="F28" t="s">
        <v>531</v>
      </c>
      <c r="H28" s="516">
        <v>2</v>
      </c>
      <c r="I28" s="467">
        <v>2.67683377515888</v>
      </c>
      <c r="J28" s="353">
        <v>3.1912018757716498</v>
      </c>
      <c r="K28" s="467">
        <v>2.9232079553974599</v>
      </c>
      <c r="L28" s="2652">
        <v>2.9867923978336899</v>
      </c>
      <c r="M28" s="1442">
        <v>2.96046250350836</v>
      </c>
      <c r="N28" s="1401">
        <v>3.3344502279385799</v>
      </c>
      <c r="O28" s="1634">
        <v>3.1326658096164199</v>
      </c>
      <c r="P28" s="1343">
        <v>3.1273510431924598</v>
      </c>
      <c r="Q28" s="2457">
        <v>3.10031410577264</v>
      </c>
      <c r="R28" s="1508">
        <v>4.3505017325148296</v>
      </c>
      <c r="S28" s="2481">
        <v>4.73745594663328</v>
      </c>
      <c r="T28" s="1268">
        <v>4.4305588037264503</v>
      </c>
    </row>
    <row r="29" spans="1:20">
      <c r="A29" t="s">
        <v>897</v>
      </c>
      <c r="B29" s="6" t="str">
        <f>HYPERLINK("http://www.ncbi.nlm.nih.gov/gene/213469", "213469")</f>
        <v>213469</v>
      </c>
      <c r="C29" s="6" t="str">
        <f>HYPERLINK("http://www.ncbi.nlm.nih.gov/gene/203190", "203190")</f>
        <v>203190</v>
      </c>
      <c r="D29" t="str">
        <f>"Lgi3"</f>
        <v>Lgi3</v>
      </c>
      <c r="E29" t="s">
        <v>898</v>
      </c>
      <c r="F29" t="s">
        <v>899</v>
      </c>
      <c r="H29" s="516">
        <v>2</v>
      </c>
      <c r="I29" s="467">
        <v>4.2259031874626096</v>
      </c>
      <c r="J29" s="512">
        <v>3.9714409294237698</v>
      </c>
      <c r="K29" s="467">
        <v>4.1256698815139901</v>
      </c>
      <c r="L29" s="2652">
        <v>4.3960056544617903</v>
      </c>
      <c r="M29" s="1442">
        <v>4.43727506230677</v>
      </c>
      <c r="N29" s="1442">
        <v>4.2949860621943499</v>
      </c>
      <c r="O29" s="1806">
        <v>5.0751093947328298</v>
      </c>
      <c r="P29" s="1401">
        <v>5.0600661992543401</v>
      </c>
      <c r="Q29" s="2666">
        <v>5.3924014116380903</v>
      </c>
      <c r="R29" s="1508">
        <v>6.1628662548540403</v>
      </c>
      <c r="S29" s="2481">
        <v>6.6725457608685899</v>
      </c>
      <c r="T29" s="1268">
        <v>6.3597203800915301</v>
      </c>
    </row>
    <row r="30" spans="1:20">
      <c r="A30" t="s">
        <v>942</v>
      </c>
      <c r="B30" s="6" t="str">
        <f>HYPERLINK("http://www.ncbi.nlm.nih.gov/gene/72293", "72293")</f>
        <v>72293</v>
      </c>
      <c r="C30" s="6" t="str">
        <f>HYPERLINK("http://www.ncbi.nlm.nih.gov/gene/85409", "85409")</f>
        <v>85409</v>
      </c>
      <c r="D30" t="str">
        <f>"Nkd2"</f>
        <v>Nkd2</v>
      </c>
      <c r="E30" t="s">
        <v>943</v>
      </c>
      <c r="F30" t="s">
        <v>944</v>
      </c>
      <c r="G30" t="s">
        <v>611</v>
      </c>
      <c r="H30" s="516">
        <v>2</v>
      </c>
      <c r="I30" s="467">
        <v>4.9136405545692696</v>
      </c>
      <c r="J30" s="467">
        <v>4.8718249275656103</v>
      </c>
      <c r="K30" s="467">
        <v>5.0530853351017102</v>
      </c>
      <c r="L30" s="2652">
        <v>4.9070110352826504</v>
      </c>
      <c r="M30" s="1442">
        <v>4.8522760274680898</v>
      </c>
      <c r="N30" s="1442">
        <v>5.2207426520586102</v>
      </c>
      <c r="O30" s="1546">
        <v>6.9257656071437799</v>
      </c>
      <c r="P30" s="1615">
        <v>7.1730459150363997</v>
      </c>
      <c r="Q30" s="2666">
        <v>7.2336896058643196</v>
      </c>
      <c r="R30" s="1508">
        <v>8.5649374034765895</v>
      </c>
      <c r="S30" s="1164">
        <v>8.73943980235385</v>
      </c>
      <c r="T30" s="1703">
        <v>8.5146614651302404</v>
      </c>
    </row>
    <row r="31" spans="1:20">
      <c r="A31" t="s">
        <v>859</v>
      </c>
      <c r="B31" s="6" t="str">
        <f>HYPERLINK("http://www.ncbi.nlm.nih.gov/gene/24117", "24117")</f>
        <v>24117</v>
      </c>
      <c r="C31" s="6" t="str">
        <f>HYPERLINK("http://www.ncbi.nlm.nih.gov/gene/11197", "11197")</f>
        <v>11197</v>
      </c>
      <c r="D31" t="str">
        <f>"Wif1"</f>
        <v>Wif1</v>
      </c>
      <c r="E31" t="s">
        <v>860</v>
      </c>
      <c r="F31" t="s">
        <v>864</v>
      </c>
      <c r="G31" t="s">
        <v>611</v>
      </c>
      <c r="H31" s="516">
        <v>2</v>
      </c>
      <c r="I31" s="512">
        <v>5.6724941125654</v>
      </c>
      <c r="J31" s="512">
        <v>5.64899170952443</v>
      </c>
      <c r="K31" s="512">
        <v>5.6205127884657502</v>
      </c>
      <c r="L31" s="2658">
        <v>6.7108553968698299</v>
      </c>
      <c r="M31" s="1343">
        <v>6.7237424977906697</v>
      </c>
      <c r="N31" s="1343">
        <v>6.6945079430435799</v>
      </c>
      <c r="O31" s="1546">
        <v>7.64595376888456</v>
      </c>
      <c r="P31" s="1532">
        <v>7.7417587857829897</v>
      </c>
      <c r="Q31" s="2674">
        <v>7.4993683388454198</v>
      </c>
      <c r="R31" s="1164">
        <v>9.4492533548687394</v>
      </c>
      <c r="S31" s="1164">
        <v>9.4610642167791301</v>
      </c>
      <c r="T31" s="1268">
        <v>9.4054686536140792</v>
      </c>
    </row>
    <row r="32" spans="1:20">
      <c r="A32" t="s">
        <v>1281</v>
      </c>
      <c r="B32" s="6" t="str">
        <f>HYPERLINK("http://www.ncbi.nlm.nih.gov/gene/16773", "16773")</f>
        <v>16773</v>
      </c>
      <c r="C32" s="6" t="str">
        <f>HYPERLINK("http://www.ncbi.nlm.nih.gov/gene/3908", "3908")</f>
        <v>3908</v>
      </c>
      <c r="D32" t="str">
        <f>"Lama2"</f>
        <v>Lama2</v>
      </c>
      <c r="E32" t="s">
        <v>1282</v>
      </c>
      <c r="F32" t="s">
        <v>1283</v>
      </c>
      <c r="G32" t="s">
        <v>1284</v>
      </c>
      <c r="H32" s="517">
        <v>3</v>
      </c>
      <c r="I32" s="506">
        <v>5.8538457176989196</v>
      </c>
      <c r="J32" s="498">
        <v>5.40034372963283</v>
      </c>
      <c r="K32" s="506">
        <v>5.6985347198459699</v>
      </c>
      <c r="L32" s="2658">
        <v>4.1684565376902301</v>
      </c>
      <c r="M32" s="1343">
        <v>3.99774439854817</v>
      </c>
      <c r="N32" s="1442">
        <v>3.71261111843876</v>
      </c>
      <c r="O32" s="1634">
        <v>4.2119604145929603</v>
      </c>
      <c r="P32" s="1343">
        <v>4.1455586509743796</v>
      </c>
      <c r="Q32" s="2674">
        <v>4.2402274207690898</v>
      </c>
      <c r="R32" s="1442">
        <v>3.7177062447899298</v>
      </c>
      <c r="S32" s="1442">
        <v>3.81733185763385</v>
      </c>
      <c r="T32" s="1809">
        <v>3.5104784490971999</v>
      </c>
    </row>
    <row r="33" spans="1:21">
      <c r="A33" t="s">
        <v>1488</v>
      </c>
      <c r="B33" s="6" t="str">
        <f>HYPERLINK("http://www.ncbi.nlm.nih.gov/gene/12843", "12843")</f>
        <v>12843</v>
      </c>
      <c r="C33" s="6" t="str">
        <f>HYPERLINK("http://www.ncbi.nlm.nih.gov/gene/1278", "1278")</f>
        <v>1278</v>
      </c>
      <c r="D33" t="str">
        <f>"Col1a2"</f>
        <v>Col1a2</v>
      </c>
      <c r="E33" t="s">
        <v>1489</v>
      </c>
      <c r="F33" t="s">
        <v>1464</v>
      </c>
      <c r="G33" t="s">
        <v>1498</v>
      </c>
      <c r="H33" s="517">
        <v>3</v>
      </c>
      <c r="I33" s="498">
        <v>8.6343901497403994</v>
      </c>
      <c r="J33" s="498">
        <v>8.6343901497403994</v>
      </c>
      <c r="K33" s="498">
        <v>8.6817130051654896</v>
      </c>
      <c r="L33" s="2644">
        <v>6.6197823422740498</v>
      </c>
      <c r="M33" s="2303">
        <v>6.4798837597928696</v>
      </c>
      <c r="N33" s="2303">
        <v>6.10676184672195</v>
      </c>
      <c r="O33" s="1781">
        <v>8.5491050078324804</v>
      </c>
      <c r="P33" s="1508">
        <v>8.5070996029017198</v>
      </c>
      <c r="Q33" s="2680">
        <v>8.5802272790204199</v>
      </c>
      <c r="R33" s="1343">
        <v>7.2815003576396498</v>
      </c>
      <c r="S33" s="1343">
        <v>7.4087222224315203</v>
      </c>
      <c r="T33" s="1604">
        <v>7.2067633961748401</v>
      </c>
    </row>
    <row r="34" spans="1:21">
      <c r="A34" t="s">
        <v>1344</v>
      </c>
      <c r="B34" s="6" t="str">
        <f>HYPERLINK("http://www.ncbi.nlm.nih.gov/gene/18596", "18596")</f>
        <v>18596</v>
      </c>
      <c r="C34" s="6" t="str">
        <f>HYPERLINK("http://www.ncbi.nlm.nih.gov/gene/5159", "5159")</f>
        <v>5159</v>
      </c>
      <c r="D34" t="str">
        <f>"Pdgfrb"</f>
        <v>Pdgfrb</v>
      </c>
      <c r="E34" t="s">
        <v>1345</v>
      </c>
      <c r="F34" t="s">
        <v>1352</v>
      </c>
      <c r="G34" t="s">
        <v>1353</v>
      </c>
      <c r="H34" s="517">
        <v>3</v>
      </c>
      <c r="I34" s="506">
        <v>9.69227549614126</v>
      </c>
      <c r="J34" s="498">
        <v>9.4883984286715304</v>
      </c>
      <c r="K34" s="498">
        <v>9.4688688250758997</v>
      </c>
      <c r="L34" s="2644">
        <v>7.9606170931082003</v>
      </c>
      <c r="M34" s="2303">
        <v>7.9407082269092202</v>
      </c>
      <c r="N34" s="2303">
        <v>7.8929889611512296</v>
      </c>
      <c r="O34" s="1634">
        <v>8.5081512275186704</v>
      </c>
      <c r="P34" s="1401">
        <v>8.5978217182076104</v>
      </c>
      <c r="Q34" s="2457">
        <v>8.4483086377418903</v>
      </c>
      <c r="R34" s="1401">
        <v>8.7569063736488495</v>
      </c>
      <c r="S34" s="1401">
        <v>8.6765682443148595</v>
      </c>
      <c r="T34" s="1609">
        <v>8.6814272782233193</v>
      </c>
    </row>
    <row r="35" spans="1:21">
      <c r="A35" t="s">
        <v>1458</v>
      </c>
      <c r="B35" s="6" t="str">
        <f>HYPERLINK("http://www.ncbi.nlm.nih.gov/gene/57246", "57246")</f>
        <v>57246</v>
      </c>
      <c r="C35" s="6" t="str">
        <f>HYPERLINK("http://www.ncbi.nlm.nih.gov/gene/57057", "57057")</f>
        <v>57057</v>
      </c>
      <c r="D35" t="str">
        <f>"Tbx20"</f>
        <v>Tbx20</v>
      </c>
      <c r="E35" t="s">
        <v>1459</v>
      </c>
      <c r="F35" t="s">
        <v>1460</v>
      </c>
      <c r="H35" s="517">
        <v>3</v>
      </c>
      <c r="I35" s="498">
        <v>8.5799694847263108</v>
      </c>
      <c r="J35" s="498">
        <v>8.4687204854825406</v>
      </c>
      <c r="K35" s="498">
        <v>8.3907466915650204</v>
      </c>
      <c r="L35" s="2644">
        <v>4.2888898368728299</v>
      </c>
      <c r="M35" s="1442">
        <v>4.5928161933047003</v>
      </c>
      <c r="N35" s="2303">
        <v>3.96882489194337</v>
      </c>
      <c r="O35" s="1781">
        <v>8.1520760719054195</v>
      </c>
      <c r="P35" s="1615">
        <v>7.8722096446637702</v>
      </c>
      <c r="Q35" s="2680">
        <v>8.1139915008113892</v>
      </c>
      <c r="R35" s="1442">
        <v>5.2789276600594803</v>
      </c>
      <c r="S35" s="1442">
        <v>5.1037322608853399</v>
      </c>
      <c r="T35" s="1809">
        <v>5.0956218462001397</v>
      </c>
    </row>
    <row r="36" spans="1:21">
      <c r="A36" t="s">
        <v>1073</v>
      </c>
      <c r="B36" s="6" t="str">
        <f>HYPERLINK("http://www.ncbi.nlm.nih.gov/gene/13649", "13649")</f>
        <v>13649</v>
      </c>
      <c r="C36" s="6" t="str">
        <f>HYPERLINK("http://www.ncbi.nlm.nih.gov/gene/1956", "1956")</f>
        <v>1956</v>
      </c>
      <c r="D36" t="str">
        <f>"Egfr"</f>
        <v>Egfr</v>
      </c>
      <c r="E36" t="s">
        <v>1074</v>
      </c>
      <c r="F36" t="s">
        <v>1080</v>
      </c>
      <c r="G36" t="s">
        <v>1081</v>
      </c>
      <c r="H36" s="517">
        <v>3</v>
      </c>
      <c r="I36" s="477">
        <v>8.7555970600083093</v>
      </c>
      <c r="J36" s="477">
        <v>8.7236666121925808</v>
      </c>
      <c r="K36" s="477">
        <v>8.8225172668541507</v>
      </c>
      <c r="L36" s="2652">
        <v>5.03725164417218</v>
      </c>
      <c r="M36" s="1343">
        <v>5.3389682830711003</v>
      </c>
      <c r="N36" s="1442">
        <v>4.9415053604549204</v>
      </c>
      <c r="O36" s="1806">
        <v>6.2867518793559398</v>
      </c>
      <c r="P36" s="1401">
        <v>6.2441980538003499</v>
      </c>
      <c r="Q36" s="2682">
        <v>6.6944426568530604</v>
      </c>
      <c r="R36" s="1442">
        <v>4.6817871800785102</v>
      </c>
      <c r="S36" s="1442">
        <v>4.3955043789390196</v>
      </c>
      <c r="T36" s="1809">
        <v>4.42476198174265</v>
      </c>
    </row>
    <row r="37" spans="1:21">
      <c r="A37" t="s">
        <v>1108</v>
      </c>
      <c r="B37" s="6" t="str">
        <f>HYPERLINK("http://www.ncbi.nlm.nih.gov/gene/14160", "14160")</f>
        <v>14160</v>
      </c>
      <c r="C37" s="6" t="str">
        <f>HYPERLINK("http://www.ncbi.nlm.nih.gov/gene/8549", "8549")</f>
        <v>8549</v>
      </c>
      <c r="D37" t="str">
        <f>"Lgr5"</f>
        <v>Lgr5</v>
      </c>
      <c r="E37" t="s">
        <v>1109</v>
      </c>
      <c r="F37" t="s">
        <v>1110</v>
      </c>
      <c r="H37" s="517">
        <v>3</v>
      </c>
      <c r="I37" s="506">
        <v>7.6948353301802603</v>
      </c>
      <c r="J37" s="477">
        <v>7.4843269629216698</v>
      </c>
      <c r="K37" s="506">
        <v>7.72572128239484</v>
      </c>
      <c r="L37" s="2652">
        <v>3.8004700073695901</v>
      </c>
      <c r="M37" s="1343">
        <v>4.0954325454342602</v>
      </c>
      <c r="N37" s="1343">
        <v>4.1560771318508802</v>
      </c>
      <c r="O37" s="1634">
        <v>3.9826013629306298</v>
      </c>
      <c r="P37" s="1343">
        <v>3.9046224199782902</v>
      </c>
      <c r="Q37" s="2457">
        <v>3.9484737597460602</v>
      </c>
      <c r="R37" s="1343">
        <v>3.85926251619449</v>
      </c>
      <c r="S37" s="1442">
        <v>3.8059966340199498</v>
      </c>
      <c r="T37" s="1809">
        <v>3.57844175476786</v>
      </c>
    </row>
    <row r="38" spans="1:21">
      <c r="A38" t="s">
        <v>1518</v>
      </c>
      <c r="B38" s="6" t="str">
        <f>HYPERLINK("http://www.ncbi.nlm.nih.gov/gene/21803", "21803")</f>
        <v>21803</v>
      </c>
      <c r="C38" s="6" t="str">
        <f>HYPERLINK("http://www.ncbi.nlm.nih.gov/gene/7040", "7040")</f>
        <v>7040</v>
      </c>
      <c r="D38" t="str">
        <f>"Tgfb1"</f>
        <v>Tgfb1</v>
      </c>
      <c r="E38" t="s">
        <v>1519</v>
      </c>
      <c r="F38" t="s">
        <v>1520</v>
      </c>
      <c r="G38" t="s">
        <v>1521</v>
      </c>
      <c r="H38" s="517">
        <v>3</v>
      </c>
      <c r="I38" s="498">
        <v>7.1940108810155596</v>
      </c>
      <c r="J38" s="498">
        <v>7.1286100229110101</v>
      </c>
      <c r="K38" s="498">
        <v>7.0553216463012296</v>
      </c>
      <c r="L38" s="2644">
        <v>5.7713541525568104</v>
      </c>
      <c r="M38" s="1442">
        <v>5.85788424628422</v>
      </c>
      <c r="N38" s="2303">
        <v>5.5490374345665003</v>
      </c>
      <c r="O38" s="1781">
        <v>6.9955383245120304</v>
      </c>
      <c r="P38" s="1615">
        <v>6.7603275076843303</v>
      </c>
      <c r="Q38" s="2682">
        <v>6.66230858546525</v>
      </c>
      <c r="R38" s="1343">
        <v>6.2044670547273997</v>
      </c>
      <c r="S38" s="1442">
        <v>5.93705808038768</v>
      </c>
      <c r="T38" s="1604">
        <v>6.1432717790751497</v>
      </c>
    </row>
    <row r="39" spans="1:21">
      <c r="A39" t="s">
        <v>2072</v>
      </c>
      <c r="B39" s="6" t="str">
        <f>HYPERLINK("http://www.ncbi.nlm.nih.gov/gene/18510", "18510")</f>
        <v>18510</v>
      </c>
      <c r="C39" s="6" t="str">
        <f>HYPERLINK("http://www.ncbi.nlm.nih.gov/gene/7849", "7849")</f>
        <v>7849</v>
      </c>
      <c r="D39" t="str">
        <f>"Pax8"</f>
        <v>Pax8</v>
      </c>
      <c r="E39" t="s">
        <v>2073</v>
      </c>
      <c r="F39" t="s">
        <v>2074</v>
      </c>
      <c r="G39" t="s">
        <v>2081</v>
      </c>
      <c r="H39" s="519">
        <v>5</v>
      </c>
      <c r="I39" s="353">
        <v>3.6292188900332798</v>
      </c>
      <c r="J39" s="467">
        <v>3.4364584268017802</v>
      </c>
      <c r="K39" s="467">
        <v>3.111280529454</v>
      </c>
      <c r="L39" s="2661">
        <v>8.3595162297492003</v>
      </c>
      <c r="M39" s="1164">
        <v>8.3057562584685805</v>
      </c>
      <c r="N39" s="1164">
        <v>8.5828624947664398</v>
      </c>
      <c r="O39" s="1810">
        <v>2.7918496430216102</v>
      </c>
      <c r="P39" s="1442">
        <v>2.5450342173868199</v>
      </c>
      <c r="Q39" s="2670">
        <v>2.4445314989323998</v>
      </c>
      <c r="R39" s="1401">
        <v>4.8671963234242401</v>
      </c>
      <c r="S39" s="1532">
        <v>5.5368517050553701</v>
      </c>
      <c r="T39" s="1609">
        <v>5.0499522172187801</v>
      </c>
      <c r="U39" t="s">
        <v>4056</v>
      </c>
    </row>
    <row r="40" spans="1:21">
      <c r="A40" t="s">
        <v>2105</v>
      </c>
      <c r="B40" s="6" t="str">
        <f>HYPERLINK("http://www.ncbi.nlm.nih.gov/gene/110805", "110805")</f>
        <v>110805</v>
      </c>
      <c r="C40" s="6" t="str">
        <f>HYPERLINK("http://www.ncbi.nlm.nih.gov/gene/2304", "2304")</f>
        <v>2304</v>
      </c>
      <c r="D40" t="str">
        <f>"Foxe1"</f>
        <v>Foxe1</v>
      </c>
      <c r="E40" t="s">
        <v>2106</v>
      </c>
      <c r="F40" t="s">
        <v>2102</v>
      </c>
      <c r="H40" s="519">
        <v>5</v>
      </c>
      <c r="I40" s="353">
        <v>4.8864553904674199</v>
      </c>
      <c r="J40" s="480">
        <v>5.2076816393926304</v>
      </c>
      <c r="K40" s="467">
        <v>4.6391712588441001</v>
      </c>
      <c r="L40" s="2501">
        <v>6.9991354023310697</v>
      </c>
      <c r="M40" s="2481">
        <v>6.9940910844079101</v>
      </c>
      <c r="N40" s="1164">
        <v>6.8296853335792003</v>
      </c>
      <c r="O40" s="1634">
        <v>4.7965890205031396</v>
      </c>
      <c r="P40" s="1442">
        <v>4.5852669726004498</v>
      </c>
      <c r="Q40" s="2670">
        <v>4.49517047359023</v>
      </c>
      <c r="R40" s="1343">
        <v>4.7581476235408804</v>
      </c>
      <c r="S40" s="1442">
        <v>4.6035074354651098</v>
      </c>
      <c r="T40" s="1604">
        <v>4.8206979461503998</v>
      </c>
    </row>
    <row r="41" spans="1:21">
      <c r="A41" t="s">
        <v>2155</v>
      </c>
      <c r="B41" s="6" t="str">
        <f>HYPERLINK("http://www.ncbi.nlm.nih.gov/gene/15242", "15242")</f>
        <v>15242</v>
      </c>
      <c r="C41" s="6" t="str">
        <f>HYPERLINK("http://www.ncbi.nlm.nih.gov/gene/3087", "3087")</f>
        <v>3087</v>
      </c>
      <c r="D41" t="str">
        <f>"Hhex"</f>
        <v>Hhex</v>
      </c>
      <c r="E41" t="s">
        <v>2156</v>
      </c>
      <c r="F41" t="s">
        <v>2157</v>
      </c>
      <c r="G41" t="s">
        <v>732</v>
      </c>
      <c r="H41" s="519">
        <v>5</v>
      </c>
      <c r="I41" s="467">
        <v>4.2891421748086396</v>
      </c>
      <c r="J41" s="353">
        <v>4.6828537913100003</v>
      </c>
      <c r="K41" s="353">
        <v>4.6953637951553597</v>
      </c>
      <c r="L41" s="2661">
        <v>8.1616746621236391</v>
      </c>
      <c r="M41" s="2481">
        <v>8.6917993106160303</v>
      </c>
      <c r="N41" s="2481">
        <v>8.5505037074621093</v>
      </c>
      <c r="O41" s="1810">
        <v>3.62899611861239</v>
      </c>
      <c r="P41" s="1442">
        <v>4.0400729820685903</v>
      </c>
      <c r="Q41" s="2670">
        <v>3.78391505008014</v>
      </c>
      <c r="R41" s="1343">
        <v>4.7280543353078901</v>
      </c>
      <c r="S41" s="1343">
        <v>4.9811275344576798</v>
      </c>
      <c r="T41" s="1604">
        <v>4.8492316085764404</v>
      </c>
    </row>
    <row r="42" spans="1:21">
      <c r="A42" t="s">
        <v>2274</v>
      </c>
      <c r="B42" s="6" t="str">
        <f>HYPERLINK("http://www.ncbi.nlm.nih.gov/gene/21819", "21819")</f>
        <v>21819</v>
      </c>
      <c r="C42" s="6" t="str">
        <f>HYPERLINK("http://www.ncbi.nlm.nih.gov/gene/7038", "7038")</f>
        <v>7038</v>
      </c>
      <c r="D42" t="str">
        <f>"Tg"</f>
        <v>Tg</v>
      </c>
      <c r="E42" t="s">
        <v>2275</v>
      </c>
      <c r="F42" t="s">
        <v>2276</v>
      </c>
      <c r="G42" t="s">
        <v>2277</v>
      </c>
      <c r="H42" s="519">
        <v>5</v>
      </c>
      <c r="I42" s="353">
        <v>3.67755530942493</v>
      </c>
      <c r="J42" s="353">
        <v>3.5956552247496001</v>
      </c>
      <c r="K42" s="467">
        <v>3.44821054579486</v>
      </c>
      <c r="L42" s="2661">
        <v>5.9868625599344698</v>
      </c>
      <c r="M42" s="1164">
        <v>5.8940630442678197</v>
      </c>
      <c r="N42" s="2481">
        <v>6.3395441136084401</v>
      </c>
      <c r="O42" s="1634">
        <v>3.6793081552412001</v>
      </c>
      <c r="P42" s="1442">
        <v>3.4298111350415699</v>
      </c>
      <c r="Q42" s="2457">
        <v>3.5903797127464299</v>
      </c>
      <c r="R42" s="1343">
        <v>3.6397941239491098</v>
      </c>
      <c r="S42" s="1343">
        <v>3.5898662525082501</v>
      </c>
      <c r="T42" s="1809">
        <v>3.4293708408152002</v>
      </c>
    </row>
    <row r="43" spans="1:21">
      <c r="A43" t="s">
        <v>2163</v>
      </c>
      <c r="B43" s="6" t="str">
        <f>HYPERLINK("http://www.ncbi.nlm.nih.gov/gene/19116", "19116")</f>
        <v>19116</v>
      </c>
      <c r="C43" s="6" t="str">
        <f>HYPERLINK("http://www.ncbi.nlm.nih.gov/gene/5618", "5618")</f>
        <v>5618</v>
      </c>
      <c r="D43" t="str">
        <f>"Prlr"</f>
        <v>Prlr</v>
      </c>
      <c r="E43" t="s">
        <v>2164</v>
      </c>
      <c r="F43" t="s">
        <v>2165</v>
      </c>
      <c r="G43" t="s">
        <v>2166</v>
      </c>
      <c r="H43" s="519">
        <v>5</v>
      </c>
      <c r="I43" s="467">
        <v>2.5279786150304902</v>
      </c>
      <c r="J43" s="467">
        <v>2.2631270190624999</v>
      </c>
      <c r="K43" s="467">
        <v>2.27984942424888</v>
      </c>
      <c r="L43" s="2501">
        <v>7.2136151846590497</v>
      </c>
      <c r="M43" s="1164">
        <v>7.0772299795072202</v>
      </c>
      <c r="N43" s="2481">
        <v>7.33381449822779</v>
      </c>
      <c r="O43" s="1810">
        <v>2.5123379790678899</v>
      </c>
      <c r="P43" s="1442">
        <v>2.2888207723923899</v>
      </c>
      <c r="Q43" s="2670">
        <v>2.3952897012279002</v>
      </c>
      <c r="R43" s="1343">
        <v>3.0594942790703898</v>
      </c>
      <c r="S43" s="1401">
        <v>3.6134492863029299</v>
      </c>
      <c r="T43" s="1609">
        <v>3.4379198630202299</v>
      </c>
    </row>
    <row r="44" spans="1:21">
      <c r="A44" t="s">
        <v>1983</v>
      </c>
      <c r="B44" s="6" t="str">
        <f>HYPERLINK("http://www.ncbi.nlm.nih.gov/gene/12505", "12505")</f>
        <v>12505</v>
      </c>
      <c r="C44" s="6" t="str">
        <f>HYPERLINK("http://www.ncbi.nlm.nih.gov/gene/960", "960")</f>
        <v>960</v>
      </c>
      <c r="D44" t="str">
        <f>"Cd44"</f>
        <v>Cd44</v>
      </c>
      <c r="E44" t="s">
        <v>1984</v>
      </c>
      <c r="F44" t="s">
        <v>1985</v>
      </c>
      <c r="G44" t="s">
        <v>1986</v>
      </c>
      <c r="H44" s="519">
        <v>5</v>
      </c>
      <c r="I44" s="467">
        <v>4.3617830286857</v>
      </c>
      <c r="J44" s="467">
        <v>4.2110873072300299</v>
      </c>
      <c r="K44" s="467">
        <v>4.4166014772441597</v>
      </c>
      <c r="L44" s="2661">
        <v>7.7826897545609599</v>
      </c>
      <c r="M44" s="1508">
        <v>7.4842601116646197</v>
      </c>
      <c r="N44" s="1164">
        <v>7.7140228874433001</v>
      </c>
      <c r="O44" s="1810">
        <v>4.0368165976619599</v>
      </c>
      <c r="P44" s="1442">
        <v>4.07281711266487</v>
      </c>
      <c r="Q44" s="2670">
        <v>4.0427944809453296</v>
      </c>
      <c r="R44" s="1532">
        <v>5.94255593659976</v>
      </c>
      <c r="S44" s="1615">
        <v>6.1501541866298099</v>
      </c>
      <c r="T44" s="1708">
        <v>6.07720294059955</v>
      </c>
    </row>
    <row r="45" spans="1:21">
      <c r="A45" t="s">
        <v>2246</v>
      </c>
      <c r="B45" s="6" t="str">
        <f>HYPERLINK("http://www.ncbi.nlm.nih.gov/gene/12491", "12491")</f>
        <v>12491</v>
      </c>
      <c r="C45" s="6" t="str">
        <f>HYPERLINK("http://www.ncbi.nlm.nih.gov/gene/948", "948")</f>
        <v>948</v>
      </c>
      <c r="D45" t="str">
        <f>"Cd36"</f>
        <v>Cd36</v>
      </c>
      <c r="E45" t="s">
        <v>2247</v>
      </c>
      <c r="F45" t="s">
        <v>2251</v>
      </c>
      <c r="G45" t="s">
        <v>2252</v>
      </c>
      <c r="H45" s="519">
        <v>5</v>
      </c>
      <c r="I45" s="353">
        <v>2.4638034302989702</v>
      </c>
      <c r="J45" s="353">
        <v>2.6140404789460199</v>
      </c>
      <c r="K45" s="353">
        <v>2.5355376718949798</v>
      </c>
      <c r="L45" s="2661">
        <v>5.9025683145944896</v>
      </c>
      <c r="M45" s="1164">
        <v>5.6522656565731602</v>
      </c>
      <c r="N45" s="2481">
        <v>6.6349582194073804</v>
      </c>
      <c r="O45" s="1810">
        <v>2.07887604911443</v>
      </c>
      <c r="P45" s="1343">
        <v>2.1440941953547399</v>
      </c>
      <c r="Q45" s="2457">
        <v>2.27707906907417</v>
      </c>
      <c r="R45" s="1442">
        <v>1.8767180753432999</v>
      </c>
      <c r="S45" s="1442">
        <v>1.6571260909733101</v>
      </c>
      <c r="T45" s="1809">
        <v>2.0377879301444901</v>
      </c>
    </row>
    <row r="46" spans="1:21">
      <c r="A46" t="s">
        <v>2239</v>
      </c>
      <c r="B46" s="6" t="str">
        <f>HYPERLINK("http://www.ncbi.nlm.nih.gov/gene/70337", "70337")</f>
        <v>70337</v>
      </c>
      <c r="C46" s="6" t="str">
        <f>HYPERLINK("http://www.ncbi.nlm.nih.gov/gene/389434", "389434")</f>
        <v>389434</v>
      </c>
      <c r="D46" t="str">
        <f>"Iyd"</f>
        <v>Iyd</v>
      </c>
      <c r="E46" t="s">
        <v>2240</v>
      </c>
      <c r="F46" t="s">
        <v>2241</v>
      </c>
      <c r="H46" s="519">
        <v>5</v>
      </c>
      <c r="I46" s="353">
        <v>3.4636084931855602</v>
      </c>
      <c r="J46" s="467">
        <v>3.3961405369648099</v>
      </c>
      <c r="K46" s="467">
        <v>3.4191877667469002</v>
      </c>
      <c r="L46" s="2501">
        <v>4.7396241773574097</v>
      </c>
      <c r="M46" s="1164">
        <v>4.6623403752219303</v>
      </c>
      <c r="N46" s="1164">
        <v>4.6105570037806096</v>
      </c>
      <c r="O46" s="1726">
        <v>3.1309555968769098</v>
      </c>
      <c r="P46" s="1343">
        <v>3.5712273426914001</v>
      </c>
      <c r="Q46" s="2457">
        <v>3.5873564623269401</v>
      </c>
      <c r="R46" s="1401">
        <v>3.7910421995735701</v>
      </c>
      <c r="S46" s="1442">
        <v>3.3760098414312201</v>
      </c>
      <c r="T46" s="1604">
        <v>3.6726652645694502</v>
      </c>
    </row>
    <row r="47" spans="1:21">
      <c r="A47" t="s">
        <v>2034</v>
      </c>
      <c r="B47" s="6" t="str">
        <f>HYPERLINK("http://www.ncbi.nlm.nih.gov/gene/20388", "20388")</f>
        <v>20388</v>
      </c>
      <c r="C47" s="6" t="str">
        <f>HYPERLINK("http://www.ncbi.nlm.nih.gov/gene/6439", "6439")</f>
        <v>6439</v>
      </c>
      <c r="D47" t="str">
        <f>"Sftpb"</f>
        <v>Sftpb</v>
      </c>
      <c r="E47" t="s">
        <v>2035</v>
      </c>
      <c r="F47" t="s">
        <v>2039</v>
      </c>
      <c r="H47" s="519">
        <v>5</v>
      </c>
      <c r="I47" s="467">
        <v>3.7744571325313001</v>
      </c>
      <c r="J47" s="353">
        <v>4.0354205229871196</v>
      </c>
      <c r="K47" s="467">
        <v>3.6236456937407899</v>
      </c>
      <c r="L47" s="2501">
        <v>5.33805104464534</v>
      </c>
      <c r="M47" s="1164">
        <v>5.2256046084023797</v>
      </c>
      <c r="N47" s="1164">
        <v>5.21593668762885</v>
      </c>
      <c r="O47" s="1634">
        <v>3.88723018887119</v>
      </c>
      <c r="P47" s="1442">
        <v>3.8269549475765898</v>
      </c>
      <c r="Q47" s="2620">
        <v>3.4988495965914401</v>
      </c>
      <c r="R47" s="1401">
        <v>4.2854236203251999</v>
      </c>
      <c r="S47" s="1401">
        <v>4.2994391802086502</v>
      </c>
      <c r="T47" s="1604">
        <v>4.0076085340832401</v>
      </c>
    </row>
    <row r="48" spans="1:21">
      <c r="A48" t="s">
        <v>2057</v>
      </c>
      <c r="B48" s="6" t="str">
        <f>HYPERLINK("http://www.ncbi.nlm.nih.gov/gene/20502", "20502")</f>
        <v>20502</v>
      </c>
      <c r="C48" s="6" t="str">
        <f>HYPERLINK("http://www.ncbi.nlm.nih.gov/gene/6567", "6567")</f>
        <v>6567</v>
      </c>
      <c r="D48" t="str">
        <f>"Slc16a2"</f>
        <v>Slc16a2</v>
      </c>
      <c r="E48" t="s">
        <v>2058</v>
      </c>
      <c r="F48" t="s">
        <v>2065</v>
      </c>
      <c r="H48" s="519">
        <v>5</v>
      </c>
      <c r="I48" s="353">
        <v>6.3584831417324397</v>
      </c>
      <c r="J48" s="467">
        <v>6.0281088740317701</v>
      </c>
      <c r="K48" s="353">
        <v>6.2409279404651796</v>
      </c>
      <c r="L48" s="2661">
        <v>8.2389566662991296</v>
      </c>
      <c r="M48" s="1164">
        <v>8.1617493426903902</v>
      </c>
      <c r="N48" s="1164">
        <v>8.2778120526875405</v>
      </c>
      <c r="O48" s="1726">
        <v>5.4955818257358402</v>
      </c>
      <c r="P48" s="1442">
        <v>5.7906619586280197</v>
      </c>
      <c r="Q48" s="2670">
        <v>5.9359759169592499</v>
      </c>
      <c r="R48" s="1401">
        <v>6.7523872620029897</v>
      </c>
      <c r="S48" s="1401">
        <v>6.8244666284470199</v>
      </c>
      <c r="T48" s="1609">
        <v>6.7733560461201803</v>
      </c>
    </row>
    <row r="49" spans="1:21">
      <c r="A49" t="s">
        <v>2146</v>
      </c>
      <c r="B49" s="6" t="str">
        <f>HYPERLINK("http://www.ncbi.nlm.nih.gov/gene/66811", "66811")</f>
        <v>66811</v>
      </c>
      <c r="C49" s="6" t="str">
        <f>HYPERLINK("http://www.ncbi.nlm.nih.gov/gene/405753", "405753")</f>
        <v>405753</v>
      </c>
      <c r="D49" t="str">
        <f>"Duoxa2"</f>
        <v>Duoxa2</v>
      </c>
      <c r="E49" t="s">
        <v>2147</v>
      </c>
      <c r="F49" t="s">
        <v>2148</v>
      </c>
      <c r="H49" s="519">
        <v>5</v>
      </c>
      <c r="I49" s="353">
        <v>3.0447845526573198</v>
      </c>
      <c r="J49" s="480">
        <v>3.2460255278038002</v>
      </c>
      <c r="K49" s="353">
        <v>3.0920775107002401</v>
      </c>
      <c r="L49" s="2501">
        <v>4.5702923979809498</v>
      </c>
      <c r="M49" s="1508">
        <v>4.0269170341094096</v>
      </c>
      <c r="N49" s="1164">
        <v>4.1857437565608402</v>
      </c>
      <c r="O49" s="1810">
        <v>2.7882379991373698</v>
      </c>
      <c r="P49" s="1442">
        <v>2.8454601679013698</v>
      </c>
      <c r="Q49" s="2670">
        <v>2.7662465065583599</v>
      </c>
      <c r="R49" s="1343">
        <v>3.02053659724884</v>
      </c>
      <c r="S49" s="1343">
        <v>2.99997484700642</v>
      </c>
      <c r="T49" s="1609">
        <v>3.28745014242477</v>
      </c>
    </row>
    <row r="50" spans="1:21">
      <c r="A50" t="s">
        <v>2334</v>
      </c>
      <c r="B50" s="6" t="str">
        <f>HYPERLINK("http://www.ncbi.nlm.nih.gov/gene/12606", "12606")</f>
        <v>12606</v>
      </c>
      <c r="C50" s="6" t="str">
        <f>HYPERLINK("http://www.ncbi.nlm.nih.gov/gene/1050", "1050")</f>
        <v>1050</v>
      </c>
      <c r="D50" t="str">
        <f>"Cebpa"</f>
        <v>Cebpa</v>
      </c>
      <c r="E50" t="s">
        <v>2335</v>
      </c>
      <c r="F50" t="s">
        <v>2338</v>
      </c>
      <c r="G50" t="s">
        <v>2339</v>
      </c>
      <c r="H50" s="519">
        <v>5</v>
      </c>
      <c r="I50" s="353">
        <v>3.73243964230599</v>
      </c>
      <c r="J50" s="353">
        <v>3.6094974359258698</v>
      </c>
      <c r="K50" s="353">
        <v>3.5364955071725999</v>
      </c>
      <c r="L50" s="2501">
        <v>4.8115213538660697</v>
      </c>
      <c r="M50" s="2481">
        <v>4.9063007729363202</v>
      </c>
      <c r="N50" s="1508">
        <v>4.3843080990387797</v>
      </c>
      <c r="O50" s="1634">
        <v>3.7166466781888801</v>
      </c>
      <c r="P50" s="1442">
        <v>3.5184892544436299</v>
      </c>
      <c r="Q50" s="2620">
        <v>3.0993549496321999</v>
      </c>
      <c r="R50" s="1343">
        <v>3.7027646068856002</v>
      </c>
      <c r="S50" s="1343">
        <v>3.6716262995653302</v>
      </c>
      <c r="T50" s="1809">
        <v>3.4780196297239701</v>
      </c>
    </row>
    <row r="51" spans="1:21">
      <c r="A51" t="s">
        <v>3124</v>
      </c>
      <c r="B51" s="6" t="str">
        <f>HYPERLINK("http://www.ncbi.nlm.nih.gov/gene/21869", "21869")</f>
        <v>21869</v>
      </c>
      <c r="C51" s="6" t="str">
        <f>HYPERLINK("http://www.ncbi.nlm.nih.gov/gene/7080", "7080")</f>
        <v>7080</v>
      </c>
      <c r="D51" t="str">
        <f>"Nkx2-1"</f>
        <v>Nkx2-1</v>
      </c>
      <c r="E51" t="s">
        <v>3125</v>
      </c>
      <c r="F51" t="s">
        <v>3132</v>
      </c>
      <c r="H51" s="520">
        <v>6</v>
      </c>
      <c r="I51" s="467">
        <v>5.3781867444768201</v>
      </c>
      <c r="J51" s="467">
        <v>5.3096041674101597</v>
      </c>
      <c r="K51" s="467">
        <v>4.9660358298596199</v>
      </c>
      <c r="L51" s="2679">
        <v>9.9299406848047305</v>
      </c>
      <c r="M51" s="1508">
        <v>9.9798174209791206</v>
      </c>
      <c r="N51" s="1508">
        <v>9.9300306928319504</v>
      </c>
      <c r="O51" s="1726">
        <v>4.0185656957578404</v>
      </c>
      <c r="P51" s="2303">
        <v>4.2334823633766598</v>
      </c>
      <c r="Q51" s="2620">
        <v>4.0991388676557303</v>
      </c>
      <c r="R51" s="1508">
        <v>9.5283233488107104</v>
      </c>
      <c r="S51" s="1508">
        <v>9.5800159613029408</v>
      </c>
      <c r="T51" s="1703">
        <v>9.6585895733395404</v>
      </c>
      <c r="U51" t="s">
        <v>4063</v>
      </c>
    </row>
    <row r="52" spans="1:21">
      <c r="A52" t="s">
        <v>3122</v>
      </c>
      <c r="B52" s="6" t="str">
        <f>HYPERLINK("http://www.ncbi.nlm.nih.gov/gene/104798", "104798")</f>
        <v>104798</v>
      </c>
      <c r="C52" s="6" t="str">
        <f>HYPERLINK("http://www.ncbi.nlm.nih.gov/gene/", "")</f>
        <v/>
      </c>
      <c r="D52" t="str">
        <f>"E030019B13Rik"</f>
        <v>E030019B13Rik</v>
      </c>
      <c r="E52" t="s">
        <v>3123</v>
      </c>
      <c r="H52" s="520">
        <v>6</v>
      </c>
      <c r="I52" s="467">
        <v>4.4961068862300202</v>
      </c>
      <c r="J52" s="467">
        <v>4.6633857813726003</v>
      </c>
      <c r="K52" s="467">
        <v>4.4159733772755096</v>
      </c>
      <c r="L52" s="2679">
        <v>9.8863056068534902</v>
      </c>
      <c r="M52" s="1508">
        <v>9.9672675984277905</v>
      </c>
      <c r="N52" s="1508">
        <v>9.9579479067192995</v>
      </c>
      <c r="O52" s="1810">
        <v>3.4606810798783298</v>
      </c>
      <c r="P52" s="2303">
        <v>3.1926747825472699</v>
      </c>
      <c r="Q52" s="2620">
        <v>3.27284426986024</v>
      </c>
      <c r="R52" s="1508">
        <v>9.8706034384434798</v>
      </c>
      <c r="S52" s="1508">
        <v>9.7754920293492997</v>
      </c>
      <c r="T52" s="1703">
        <v>9.9140928477649606</v>
      </c>
    </row>
    <row r="53" spans="1:21">
      <c r="A53" t="s">
        <v>2524</v>
      </c>
      <c r="B53" s="6" t="str">
        <f>HYPERLINK("http://www.ncbi.nlm.nih.gov/gene/12561", "12561")</f>
        <v>12561</v>
      </c>
      <c r="C53" s="6" t="str">
        <f>HYPERLINK("http://www.ncbi.nlm.nih.gov/gene/1002", "1002")</f>
        <v>1002</v>
      </c>
      <c r="D53" t="str">
        <f>"Cdh1"</f>
        <v>Cdh1</v>
      </c>
      <c r="E53" t="s">
        <v>2662</v>
      </c>
      <c r="F53" t="s">
        <v>2663</v>
      </c>
      <c r="G53" t="s">
        <v>2677</v>
      </c>
      <c r="H53" s="520">
        <v>6</v>
      </c>
      <c r="I53" s="467">
        <v>4.0104529553318402</v>
      </c>
      <c r="J53" s="467">
        <v>3.86825659175748</v>
      </c>
      <c r="K53" s="467">
        <v>3.9221771346449401</v>
      </c>
      <c r="L53" s="2679">
        <v>5.5074881664800497</v>
      </c>
      <c r="M53" s="1508">
        <v>5.4567182933849798</v>
      </c>
      <c r="N53" s="1164">
        <v>5.8359139293763702</v>
      </c>
      <c r="O53" s="1810">
        <v>4.0147094327070496</v>
      </c>
      <c r="P53" s="1442">
        <v>3.9984196334504101</v>
      </c>
      <c r="Q53" s="2620">
        <v>3.6892893781514902</v>
      </c>
      <c r="R53" s="1615">
        <v>5.1157391393470899</v>
      </c>
      <c r="S53" s="1508">
        <v>5.28506527342351</v>
      </c>
      <c r="T53" s="1731">
        <v>5.1464681522602804</v>
      </c>
    </row>
    <row r="54" spans="1:21">
      <c r="A54" t="s">
        <v>2817</v>
      </c>
      <c r="B54" s="6" t="str">
        <f>HYPERLINK("http://www.ncbi.nlm.nih.gov/gene/16403", "16403")</f>
        <v>16403</v>
      </c>
      <c r="C54" s="6" t="str">
        <f>HYPERLINK("http://www.ncbi.nlm.nih.gov/gene/3655", "3655")</f>
        <v>3655</v>
      </c>
      <c r="D54" t="str">
        <f>"Fzd6"</f>
        <v>Fzd6</v>
      </c>
      <c r="E54" t="s">
        <v>2602</v>
      </c>
      <c r="F54" t="s">
        <v>2616</v>
      </c>
      <c r="G54" t="s">
        <v>2617</v>
      </c>
      <c r="H54" s="520">
        <v>6</v>
      </c>
      <c r="I54" s="467">
        <v>5.2937136310075497</v>
      </c>
      <c r="J54" s="512">
        <v>5.0640509639918196</v>
      </c>
      <c r="K54" s="512">
        <v>4.8478908486575998</v>
      </c>
      <c r="L54" s="2679">
        <v>6.2865090326829902</v>
      </c>
      <c r="M54" s="1508">
        <v>6.3194434123252003</v>
      </c>
      <c r="N54" s="1508">
        <v>6.3925755110156999</v>
      </c>
      <c r="O54" s="1806">
        <v>5.62045045361298</v>
      </c>
      <c r="P54" s="1442">
        <v>5.2181603505282297</v>
      </c>
      <c r="Q54" s="2457">
        <v>5.4090891901343703</v>
      </c>
      <c r="R54" s="1615">
        <v>6.0183400887241403</v>
      </c>
      <c r="S54" s="1615">
        <v>5.983208837347</v>
      </c>
      <c r="T54" s="1731">
        <v>5.9473863976131502</v>
      </c>
    </row>
    <row r="55" spans="1:21">
      <c r="A55" t="s">
        <v>2776</v>
      </c>
      <c r="B55" s="6" t="str">
        <f>HYPERLINK("http://www.ncbi.nlm.nih.gov/gene/16668", "16668")</f>
        <v>16668</v>
      </c>
      <c r="C55" s="6" t="str">
        <f>HYPERLINK("http://www.ncbi.nlm.nih.gov/gene/3875", "3875")</f>
        <v>3875</v>
      </c>
      <c r="D55" t="str">
        <f>"Itga6"</f>
        <v>Itga6</v>
      </c>
      <c r="E55" t="s">
        <v>2818</v>
      </c>
      <c r="F55" t="s">
        <v>2804</v>
      </c>
      <c r="G55" t="s">
        <v>2822</v>
      </c>
      <c r="H55" s="520">
        <v>6</v>
      </c>
      <c r="I55" s="512">
        <v>5.0613014095657602</v>
      </c>
      <c r="J55" s="512">
        <v>4.8452799523812002</v>
      </c>
      <c r="K55" s="512">
        <v>5.10599280698389</v>
      </c>
      <c r="L55" s="2675">
        <v>7.8584068145040504</v>
      </c>
      <c r="M55" s="1615">
        <v>7.83669292820277</v>
      </c>
      <c r="N55" s="1508">
        <v>7.92608369128547</v>
      </c>
      <c r="O55" s="1806">
        <v>6.7811864337461403</v>
      </c>
      <c r="P55" s="1343">
        <v>6.5067854750116796</v>
      </c>
      <c r="Q55" s="2457">
        <v>6.5374527770600999</v>
      </c>
      <c r="R55" s="1508">
        <v>8.1862199680434298</v>
      </c>
      <c r="S55" s="1508">
        <v>7.9734186538117102</v>
      </c>
      <c r="T55" s="1731">
        <v>7.8686079657731103</v>
      </c>
    </row>
    <row r="56" spans="1:21">
      <c r="A56" t="s">
        <v>2794</v>
      </c>
      <c r="B56" s="6" t="str">
        <f>HYPERLINK("http://www.ncbi.nlm.nih.gov/gene/16373", "16373")</f>
        <v>16373</v>
      </c>
      <c r="C56" s="6" t="str">
        <f>HYPERLINK("http://www.ncbi.nlm.nih.gov/gene/79191", "79191")</f>
        <v>79191</v>
      </c>
      <c r="D56" t="str">
        <f>"Krt18"</f>
        <v>Krt18</v>
      </c>
      <c r="E56" t="s">
        <v>2777</v>
      </c>
      <c r="F56" t="s">
        <v>2779</v>
      </c>
      <c r="H56" s="520">
        <v>6</v>
      </c>
      <c r="I56" s="467">
        <v>5.7486307688600604</v>
      </c>
      <c r="J56" s="512">
        <v>5.54542408066047</v>
      </c>
      <c r="K56" s="512">
        <v>5.6429266632899102</v>
      </c>
      <c r="L56" s="2661">
        <v>7.2335542724573401</v>
      </c>
      <c r="M56" s="1164">
        <v>7.2803823148485698</v>
      </c>
      <c r="N56" s="1508">
        <v>6.9986006632978297</v>
      </c>
      <c r="O56" s="1798">
        <v>6.6287826862561303</v>
      </c>
      <c r="P56" s="1401">
        <v>6.4694639651404398</v>
      </c>
      <c r="Q56" s="2457">
        <v>6.2325429472123997</v>
      </c>
      <c r="R56" s="1343">
        <v>6.1688087550169799</v>
      </c>
      <c r="S56" s="1343">
        <v>6.2307724518249001</v>
      </c>
      <c r="T56" s="1604">
        <v>6.2186875379149296</v>
      </c>
    </row>
    <row r="57" spans="1:21">
      <c r="A57" t="s">
        <v>2773</v>
      </c>
      <c r="B57" s="6" t="str">
        <f>HYPERLINK("http://www.ncbi.nlm.nih.gov/gene/20357", "20357")</f>
        <v>20357</v>
      </c>
      <c r="C57" s="6" t="str">
        <f>HYPERLINK("http://www.ncbi.nlm.nih.gov/gene/54437", "54437")</f>
        <v>54437</v>
      </c>
      <c r="D57" t="str">
        <f>"Sema3c"</f>
        <v>Sema3c</v>
      </c>
      <c r="E57" t="s">
        <v>2826</v>
      </c>
      <c r="F57" t="s">
        <v>2816</v>
      </c>
      <c r="G57" t="s">
        <v>604</v>
      </c>
      <c r="H57" s="520">
        <v>6</v>
      </c>
      <c r="I57" s="512">
        <v>5.1824141107572297</v>
      </c>
      <c r="J57" s="512">
        <v>5.41882957723743</v>
      </c>
      <c r="K57" s="512">
        <v>5.41882957723743</v>
      </c>
      <c r="L57" s="2675">
        <v>8.9752039628109603</v>
      </c>
      <c r="M57" s="1615">
        <v>8.9810522948945195</v>
      </c>
      <c r="N57" s="1615">
        <v>8.9150915962965005</v>
      </c>
      <c r="O57" s="1634">
        <v>7.3134726807105404</v>
      </c>
      <c r="P57" s="1343">
        <v>7.1056746150462802</v>
      </c>
      <c r="Q57" s="2457">
        <v>7.33845035491722</v>
      </c>
      <c r="R57" s="1508">
        <v>9.3420628878325793</v>
      </c>
      <c r="S57" s="1508">
        <v>9.1940503814816594</v>
      </c>
      <c r="T57" s="1703">
        <v>9.2483392139353793</v>
      </c>
    </row>
    <row r="58" spans="1:21">
      <c r="A58" t="s">
        <v>2672</v>
      </c>
      <c r="B58" s="6" t="str">
        <f>HYPERLINK("http://www.ncbi.nlm.nih.gov/gene/224792", "224792")</f>
        <v>224792</v>
      </c>
      <c r="C58" s="6" t="str">
        <f>HYPERLINK("http://www.ncbi.nlm.nih.gov/gene/221395", "221395")</f>
        <v>221395</v>
      </c>
      <c r="D58" t="str">
        <f>"Sema5b"</f>
        <v>Sema5b</v>
      </c>
      <c r="E58" t="s">
        <v>2774</v>
      </c>
      <c r="F58" t="s">
        <v>2775</v>
      </c>
      <c r="G58" t="s">
        <v>604</v>
      </c>
      <c r="H58" s="520">
        <v>6</v>
      </c>
      <c r="I58" s="467">
        <v>4.9552007765509201</v>
      </c>
      <c r="J58" s="512">
        <v>4.4564979755516498</v>
      </c>
      <c r="K58" s="512">
        <v>4.41856278711498</v>
      </c>
      <c r="L58" s="2679">
        <v>6.6200029753539802</v>
      </c>
      <c r="M58" s="1508">
        <v>6.81531859423173</v>
      </c>
      <c r="N58" s="1164">
        <v>6.9225000609823004</v>
      </c>
      <c r="O58" s="1634">
        <v>5.30021761783477</v>
      </c>
      <c r="P58" s="1401">
        <v>5.7218481928237797</v>
      </c>
      <c r="Q58" s="2674">
        <v>5.6655248553536302</v>
      </c>
      <c r="R58" s="1532">
        <v>5.8456568106965996</v>
      </c>
      <c r="S58" s="1343">
        <v>5.4786476502916504</v>
      </c>
      <c r="T58" s="1609">
        <v>5.7307693722968196</v>
      </c>
    </row>
    <row r="59" spans="1:21">
      <c r="A59" t="s">
        <v>2672</v>
      </c>
      <c r="B59" s="6" t="str">
        <f>HYPERLINK("http://www.ncbi.nlm.nih.gov/gene/224792", "224792")</f>
        <v>224792</v>
      </c>
      <c r="C59" s="6" t="str">
        <f>HYPERLINK("http://www.ncbi.nlm.nih.gov/gene/221395", "221395")</f>
        <v>221395</v>
      </c>
      <c r="D59" t="str">
        <f>"Gpr116"</f>
        <v>Gpr116</v>
      </c>
      <c r="E59" t="s">
        <v>2673</v>
      </c>
      <c r="F59" t="s">
        <v>2686</v>
      </c>
      <c r="H59" s="520">
        <v>6</v>
      </c>
      <c r="I59" s="467">
        <v>2.99496763971224</v>
      </c>
      <c r="J59" s="467">
        <v>3.0152154151113799</v>
      </c>
      <c r="K59" s="467">
        <v>3.2007115708214799</v>
      </c>
      <c r="L59" s="2679">
        <v>6.7741050852008904</v>
      </c>
      <c r="M59" s="1508">
        <v>6.6298574925849003</v>
      </c>
      <c r="N59" s="1508">
        <v>7.0309913135427804</v>
      </c>
      <c r="O59" s="1726">
        <v>2.578280686587</v>
      </c>
      <c r="P59" s="1442">
        <v>2.7494741107957701</v>
      </c>
      <c r="Q59" s="2670">
        <v>2.94942451117435</v>
      </c>
      <c r="R59" s="1508">
        <v>6.21228927439304</v>
      </c>
      <c r="S59" s="1615">
        <v>6.2009286997867799</v>
      </c>
      <c r="T59" s="1731">
        <v>6.1493860233032596</v>
      </c>
    </row>
    <row r="60" spans="1:21">
      <c r="A60" t="s">
        <v>3030</v>
      </c>
      <c r="B60" s="6" t="str">
        <f>HYPERLINK("http://www.ncbi.nlm.nih.gov/gene/19277", "19277")</f>
        <v>19277</v>
      </c>
      <c r="C60" s="6" t="str">
        <f>HYPERLINK("http://www.ncbi.nlm.nih.gov/gene/5800", "5800")</f>
        <v>5800</v>
      </c>
      <c r="D60" t="str">
        <f>"Ptpro"</f>
        <v>Ptpro</v>
      </c>
      <c r="E60" t="s">
        <v>3031</v>
      </c>
      <c r="F60" t="s">
        <v>3032</v>
      </c>
      <c r="H60" s="520">
        <v>6</v>
      </c>
      <c r="I60" s="467">
        <v>3.6333833666073598</v>
      </c>
      <c r="J60" s="467">
        <v>3.4913480470544802</v>
      </c>
      <c r="K60" s="467">
        <v>3.56808712406536</v>
      </c>
      <c r="L60" s="2675">
        <v>7.2729153000695597</v>
      </c>
      <c r="M60" s="1615">
        <v>7.2362478772340699</v>
      </c>
      <c r="N60" s="1615">
        <v>7.4961492299881796</v>
      </c>
      <c r="O60" s="1810">
        <v>3.96772562718406</v>
      </c>
      <c r="P60" s="1442">
        <v>3.7743874411398801</v>
      </c>
      <c r="Q60" s="2670">
        <v>4.17715621242374</v>
      </c>
      <c r="R60" s="1508">
        <v>8.8678242552489106</v>
      </c>
      <c r="S60" s="1508">
        <v>8.6819004654412808</v>
      </c>
      <c r="T60" s="1703">
        <v>8.5957770348971891</v>
      </c>
    </row>
    <row r="61" spans="1:21">
      <c r="A61" t="s">
        <v>2827</v>
      </c>
      <c r="B61" s="6" t="str">
        <f>HYPERLINK("http://www.ncbi.nlm.nih.gov/gene/67888", "67888")</f>
        <v>67888</v>
      </c>
      <c r="C61" s="6" t="str">
        <f>HYPERLINK("http://www.ncbi.nlm.nih.gov/gene/55273", "55273")</f>
        <v>55273</v>
      </c>
      <c r="D61" t="str">
        <f>"Tmem100"</f>
        <v>Tmem100</v>
      </c>
      <c r="E61" t="s">
        <v>2810</v>
      </c>
      <c r="F61" t="s">
        <v>37</v>
      </c>
      <c r="H61" s="520">
        <v>6</v>
      </c>
      <c r="I61" s="512">
        <v>3.5474134485607398</v>
      </c>
      <c r="J61" s="512">
        <v>3.95084614421007</v>
      </c>
      <c r="K61" s="512">
        <v>3.88451116731237</v>
      </c>
      <c r="L61" s="2675">
        <v>5.8854213029014497</v>
      </c>
      <c r="M61" s="1615">
        <v>6.1891354668313001</v>
      </c>
      <c r="N61" s="1508">
        <v>6.5952796162127898</v>
      </c>
      <c r="O61" s="1634">
        <v>4.9729443052668998</v>
      </c>
      <c r="P61" s="1401">
        <v>5.2732664706785197</v>
      </c>
      <c r="Q61" s="2457">
        <v>5.0749729283711504</v>
      </c>
      <c r="R61" s="1615">
        <v>6.1215294129786999</v>
      </c>
      <c r="S61" s="1508">
        <v>6.5640277546957897</v>
      </c>
      <c r="T61" s="1731">
        <v>6.1385633303499096</v>
      </c>
    </row>
  </sheetData>
  <mergeCells count="1">
    <mergeCell ref="I3:T3"/>
  </mergeCells>
  <phoneticPr fontId="2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
  <sheetViews>
    <sheetView topLeftCell="A16" workbookViewId="0">
      <selection activeCell="S61" sqref="S61"/>
    </sheetView>
  </sheetViews>
  <sheetFormatPr baseColWidth="10" defaultRowHeight="21"/>
  <cols>
    <col min="1" max="1" width="13.1640625" style="2739" customWidth="1"/>
    <col min="2" max="2" width="14.33203125" style="2745" customWidth="1"/>
    <col min="3" max="3" width="6.83203125" style="2745" customWidth="1"/>
    <col min="4" max="15" width="4.83203125" customWidth="1"/>
  </cols>
  <sheetData>
    <row r="1" spans="1:15" ht="26">
      <c r="A1" s="2738"/>
      <c r="B1" s="2737" t="str">
        <f>"Foxf1"</f>
        <v>Foxf1</v>
      </c>
      <c r="C1" s="2740">
        <v>1</v>
      </c>
      <c r="D1" s="2726"/>
      <c r="E1" s="2726"/>
      <c r="F1" s="2726"/>
      <c r="G1" s="2718"/>
      <c r="H1" s="2693"/>
      <c r="I1" s="2699"/>
      <c r="J1" s="2729"/>
      <c r="K1" s="2697"/>
      <c r="L1" s="2730"/>
      <c r="M1" s="2699"/>
      <c r="N1" s="2699"/>
      <c r="O1" s="2717"/>
    </row>
    <row r="2" spans="1:15" ht="26">
      <c r="A2" s="2738"/>
      <c r="B2" s="2737" t="str">
        <f>"Pitx1"</f>
        <v>Pitx1</v>
      </c>
      <c r="C2" s="2740">
        <v>1</v>
      </c>
      <c r="D2" s="2726"/>
      <c r="E2" s="2684"/>
      <c r="F2" s="2684"/>
      <c r="G2" s="2716"/>
      <c r="H2" s="2693"/>
      <c r="I2" s="2693"/>
      <c r="J2" s="2729"/>
      <c r="K2" s="2697"/>
      <c r="L2" s="2730"/>
      <c r="M2" s="2699"/>
      <c r="N2" s="2699"/>
      <c r="O2" s="2710"/>
    </row>
    <row r="3" spans="1:15" ht="26">
      <c r="A3" s="2738"/>
      <c r="B3" s="2737" t="str">
        <f>"Pitx2"</f>
        <v>Pitx2</v>
      </c>
      <c r="C3" s="2740">
        <v>1</v>
      </c>
      <c r="D3" s="2684"/>
      <c r="E3" s="2684"/>
      <c r="F3" s="2684"/>
      <c r="G3" s="2716"/>
      <c r="H3" s="2693"/>
      <c r="I3" s="2693"/>
      <c r="J3" s="2731"/>
      <c r="K3" s="2697"/>
      <c r="L3" s="2730"/>
      <c r="M3" s="2709"/>
      <c r="N3" s="2709"/>
      <c r="O3" s="2712"/>
    </row>
    <row r="4" spans="1:15" ht="26">
      <c r="A4" s="2738"/>
      <c r="B4" s="2737" t="str">
        <f>"Gli1"</f>
        <v>Gli1</v>
      </c>
      <c r="C4" s="2740">
        <v>1</v>
      </c>
      <c r="D4" s="2684"/>
      <c r="E4" s="2726"/>
      <c r="F4" s="2684"/>
      <c r="G4" s="2718"/>
      <c r="H4" s="2693"/>
      <c r="I4" s="2693"/>
      <c r="J4" s="2731"/>
      <c r="K4" s="2697"/>
      <c r="L4" s="2732"/>
      <c r="M4" s="2709"/>
      <c r="N4" s="2699"/>
      <c r="O4" s="2710"/>
    </row>
    <row r="5" spans="1:15" ht="26">
      <c r="A5" s="2738"/>
      <c r="B5" s="2737" t="str">
        <f>"Wnt2"</f>
        <v>Wnt2</v>
      </c>
      <c r="C5" s="2740">
        <v>1</v>
      </c>
      <c r="D5" s="2684"/>
      <c r="E5" s="2684"/>
      <c r="F5" s="2684"/>
      <c r="G5" s="2716"/>
      <c r="H5" s="2693"/>
      <c r="I5" s="2693"/>
      <c r="J5" s="2729"/>
      <c r="K5" s="2691"/>
      <c r="L5" s="2732"/>
      <c r="M5" s="2709"/>
      <c r="N5" s="2709"/>
      <c r="O5" s="2712"/>
    </row>
    <row r="6" spans="1:15" ht="26">
      <c r="A6" s="2738"/>
      <c r="B6" s="2737" t="str">
        <f>"Tbx3"</f>
        <v>Tbx3</v>
      </c>
      <c r="C6" s="2740">
        <v>1</v>
      </c>
      <c r="D6" s="2703"/>
      <c r="E6" s="2696"/>
      <c r="F6" s="2703"/>
      <c r="G6" s="2722"/>
      <c r="H6" s="2709"/>
      <c r="I6" s="2701"/>
      <c r="J6" s="2720"/>
      <c r="K6" s="2686"/>
      <c r="L6" s="2721"/>
      <c r="M6" s="2694"/>
      <c r="N6" s="2694"/>
      <c r="O6" s="2695"/>
    </row>
    <row r="7" spans="1:15" ht="26">
      <c r="A7" s="2738"/>
      <c r="B7" s="2737" t="str">
        <f>"Tbx4"</f>
        <v>Tbx4</v>
      </c>
      <c r="C7" s="2740">
        <v>1</v>
      </c>
      <c r="D7" s="2726"/>
      <c r="E7" s="2726"/>
      <c r="F7" s="2726"/>
      <c r="G7" s="2716"/>
      <c r="H7" s="2693"/>
      <c r="I7" s="2693"/>
      <c r="J7" s="2729"/>
      <c r="K7" s="2697"/>
      <c r="L7" s="2730"/>
      <c r="M7" s="2699"/>
      <c r="N7" s="2699"/>
      <c r="O7" s="2710"/>
    </row>
    <row r="8" spans="1:15" ht="26">
      <c r="A8" s="2738"/>
      <c r="B8" s="2737" t="str">
        <f>"Tbx5"</f>
        <v>Tbx5</v>
      </c>
      <c r="C8" s="2740">
        <v>1</v>
      </c>
      <c r="D8" s="2726"/>
      <c r="E8" s="2684"/>
      <c r="F8" s="2726"/>
      <c r="G8" s="2716"/>
      <c r="H8" s="2693"/>
      <c r="I8" s="2693"/>
      <c r="J8" s="2731"/>
      <c r="K8" s="2697"/>
      <c r="L8" s="2730"/>
      <c r="M8" s="2709"/>
      <c r="N8" s="2709"/>
      <c r="O8" s="2712"/>
    </row>
    <row r="9" spans="1:15" ht="26">
      <c r="A9" s="2738"/>
      <c r="B9" s="2737" t="str">
        <f>"Cftr"</f>
        <v>Cftr</v>
      </c>
      <c r="C9" s="2740">
        <v>1</v>
      </c>
      <c r="D9" s="2684"/>
      <c r="E9" s="2684"/>
      <c r="F9" s="2703"/>
      <c r="G9" s="2716"/>
      <c r="H9" s="2693"/>
      <c r="I9" s="2693"/>
      <c r="J9" s="2720"/>
      <c r="K9" s="2686"/>
      <c r="L9" s="2730"/>
      <c r="M9" s="2694"/>
      <c r="N9" s="2701"/>
      <c r="O9" s="2712"/>
    </row>
    <row r="10" spans="1:15" ht="26">
      <c r="A10" s="2738"/>
      <c r="B10" s="2737" t="str">
        <f>"Ttr"</f>
        <v>Ttr</v>
      </c>
      <c r="C10" s="2740">
        <v>1</v>
      </c>
      <c r="D10" s="2684"/>
      <c r="E10" s="2684"/>
      <c r="F10" s="2684"/>
      <c r="G10" s="2716"/>
      <c r="H10" s="2693"/>
      <c r="I10" s="2693"/>
      <c r="J10" s="2731"/>
      <c r="K10" s="2697"/>
      <c r="L10" s="2721"/>
      <c r="M10" s="2709"/>
      <c r="N10" s="2709"/>
      <c r="O10" s="2710"/>
    </row>
    <row r="11" spans="1:15" ht="26">
      <c r="A11" s="2738" t="s">
        <v>4073</v>
      </c>
      <c r="B11" s="2737" t="str">
        <f>"Cldn18"</f>
        <v>Cldn18</v>
      </c>
      <c r="C11" s="2741">
        <v>2</v>
      </c>
      <c r="D11" s="2727"/>
      <c r="E11" s="2726"/>
      <c r="F11" s="2703"/>
      <c r="G11" s="2718"/>
      <c r="H11" s="2699"/>
      <c r="I11" s="2693"/>
      <c r="J11" s="2692"/>
      <c r="K11" s="2699"/>
      <c r="L11" s="2700"/>
      <c r="M11" s="2686"/>
      <c r="N11" s="2697"/>
      <c r="O11" s="2690"/>
    </row>
    <row r="12" spans="1:15" ht="26">
      <c r="A12" s="2738" t="s">
        <v>4074</v>
      </c>
      <c r="B12" s="2737" t="str">
        <f>"Sftpc"</f>
        <v>Sftpc</v>
      </c>
      <c r="C12" s="2741">
        <v>2</v>
      </c>
      <c r="D12" s="2726"/>
      <c r="E12" s="2727"/>
      <c r="F12" s="2726"/>
      <c r="G12" s="2716"/>
      <c r="H12" s="2699"/>
      <c r="I12" s="2693"/>
      <c r="J12" s="2692"/>
      <c r="K12" s="2699"/>
      <c r="L12" s="2700"/>
      <c r="M12" s="2691"/>
      <c r="N12" s="2697"/>
      <c r="O12" s="2690"/>
    </row>
    <row r="13" spans="1:15" ht="26">
      <c r="A13" s="2738" t="s">
        <v>4066</v>
      </c>
      <c r="B13" s="2737" t="str">
        <f>"Shh"</f>
        <v>Shh</v>
      </c>
      <c r="C13" s="2741">
        <v>2</v>
      </c>
      <c r="D13" s="2684"/>
      <c r="E13" s="2684"/>
      <c r="F13" s="2684"/>
      <c r="G13" s="2718"/>
      <c r="H13" s="2693"/>
      <c r="I13" s="2693"/>
      <c r="J13" s="2698"/>
      <c r="K13" s="2701"/>
      <c r="L13" s="2711"/>
      <c r="M13" s="2691"/>
      <c r="N13" s="2697"/>
      <c r="O13" s="2733"/>
    </row>
    <row r="14" spans="1:15" ht="26">
      <c r="A14" s="2738"/>
      <c r="B14" s="2737" t="str">
        <f>"Fat3"</f>
        <v>Fat3</v>
      </c>
      <c r="C14" s="2741">
        <v>2</v>
      </c>
      <c r="D14" s="2725"/>
      <c r="E14" s="2734"/>
      <c r="F14" s="2714"/>
      <c r="G14" s="2716"/>
      <c r="H14" s="2693"/>
      <c r="I14" s="2693"/>
      <c r="J14" s="2687"/>
      <c r="K14" s="2693"/>
      <c r="L14" s="2700"/>
      <c r="M14" s="2691"/>
      <c r="N14" s="2686"/>
      <c r="O14" s="2690"/>
    </row>
    <row r="15" spans="1:15" ht="26">
      <c r="A15" s="2738"/>
      <c r="B15" s="2737" t="str">
        <f>"Sema6d"</f>
        <v>Sema6d</v>
      </c>
      <c r="C15" s="2741">
        <v>2</v>
      </c>
      <c r="D15" s="2725"/>
      <c r="E15" s="2725"/>
      <c r="F15" s="2725"/>
      <c r="G15" s="2719"/>
      <c r="H15" s="2699"/>
      <c r="I15" s="2693"/>
      <c r="J15" s="2687"/>
      <c r="K15" s="2693"/>
      <c r="L15" s="2700"/>
      <c r="M15" s="2686"/>
      <c r="N15" s="2686"/>
      <c r="O15" s="2690"/>
    </row>
    <row r="16" spans="1:15" ht="26">
      <c r="A16" s="2738" t="s">
        <v>4066</v>
      </c>
      <c r="B16" s="2737" t="str">
        <f>"Lef1"</f>
        <v>Lef1</v>
      </c>
      <c r="C16" s="2741">
        <v>2</v>
      </c>
      <c r="D16" s="2703"/>
      <c r="E16" s="2684"/>
      <c r="F16" s="2703"/>
      <c r="G16" s="2716"/>
      <c r="H16" s="2693"/>
      <c r="I16" s="2693"/>
      <c r="J16" s="2708"/>
      <c r="K16" s="2694"/>
      <c r="L16" s="2723"/>
      <c r="M16" s="2686"/>
      <c r="N16" s="2686"/>
      <c r="O16" s="2690"/>
    </row>
    <row r="17" spans="1:19" ht="26">
      <c r="A17" s="2738" t="s">
        <v>4066</v>
      </c>
      <c r="B17" s="2737" t="str">
        <f>"Foxa1"</f>
        <v>Foxa1</v>
      </c>
      <c r="C17" s="2741">
        <v>2</v>
      </c>
      <c r="D17" s="2684"/>
      <c r="E17" s="2684"/>
      <c r="F17" s="2684"/>
      <c r="G17" s="2716"/>
      <c r="H17" s="2693"/>
      <c r="I17" s="2693"/>
      <c r="J17" s="2735"/>
      <c r="K17" s="2701"/>
      <c r="L17" s="2724"/>
      <c r="M17" s="2686"/>
      <c r="N17" s="2691"/>
      <c r="O17" s="2733"/>
    </row>
    <row r="18" spans="1:19" ht="26">
      <c r="A18" s="2738" t="s">
        <v>4066</v>
      </c>
      <c r="B18" s="2737" t="str">
        <f>"Irx2"</f>
        <v>Irx2</v>
      </c>
      <c r="C18" s="2741">
        <v>2</v>
      </c>
      <c r="D18" s="2726"/>
      <c r="E18" s="2684"/>
      <c r="F18" s="2726"/>
      <c r="G18" s="2716"/>
      <c r="H18" s="2693"/>
      <c r="I18" s="2693"/>
      <c r="J18" s="2706"/>
      <c r="K18" s="2709"/>
      <c r="L18" s="2705"/>
      <c r="M18" s="2697"/>
      <c r="N18" s="2691"/>
      <c r="O18" s="2736"/>
    </row>
    <row r="19" spans="1:19" ht="26">
      <c r="A19" s="2738"/>
      <c r="B19" s="2737" t="str">
        <f>"Cdh6"</f>
        <v>Cdh6</v>
      </c>
      <c r="C19" s="2741">
        <v>2</v>
      </c>
      <c r="D19" s="2684"/>
      <c r="E19" s="2703"/>
      <c r="F19" s="2684"/>
      <c r="G19" s="2718"/>
      <c r="H19" s="2699"/>
      <c r="I19" s="2699"/>
      <c r="J19" s="2698"/>
      <c r="K19" s="2699"/>
      <c r="L19" s="2705"/>
      <c r="M19" s="2691"/>
      <c r="N19" s="2697"/>
      <c r="O19" s="2733"/>
    </row>
    <row r="20" spans="1:19" ht="26">
      <c r="A20" s="2738"/>
      <c r="B20" s="2737" t="str">
        <f>"Cxcl15"</f>
        <v>Cxcl15</v>
      </c>
      <c r="C20" s="2741">
        <v>2</v>
      </c>
      <c r="D20" s="2703"/>
      <c r="E20" s="2684"/>
      <c r="F20" s="2703"/>
      <c r="G20" s="2718"/>
      <c r="H20" s="2709"/>
      <c r="I20" s="2709"/>
      <c r="J20" s="2706"/>
      <c r="K20" s="2699"/>
      <c r="L20" s="2711"/>
      <c r="M20" s="2686"/>
      <c r="N20" s="2691"/>
      <c r="O20" s="2733"/>
      <c r="R20" s="2746" t="s">
        <v>4064</v>
      </c>
      <c r="S20" s="2746" t="s">
        <v>4079</v>
      </c>
    </row>
    <row r="21" spans="1:19" ht="26">
      <c r="A21" s="2738"/>
      <c r="B21" s="2737" t="str">
        <f>"Bmp3"</f>
        <v>Bmp3</v>
      </c>
      <c r="C21" s="2741">
        <v>2</v>
      </c>
      <c r="D21" s="2726"/>
      <c r="E21" s="2726"/>
      <c r="F21" s="2684"/>
      <c r="G21" s="2716"/>
      <c r="H21" s="2693"/>
      <c r="I21" s="2699"/>
      <c r="J21" s="2698"/>
      <c r="K21" s="2693"/>
      <c r="L21" s="2705"/>
      <c r="M21" s="2686"/>
      <c r="N21" s="2697"/>
      <c r="O21" s="2736"/>
      <c r="R21" s="2746" t="s">
        <v>4066</v>
      </c>
      <c r="S21" s="2746" t="s">
        <v>4080</v>
      </c>
    </row>
    <row r="22" spans="1:19" ht="26">
      <c r="A22" s="2738" t="s">
        <v>4066</v>
      </c>
      <c r="B22" s="2737" t="str">
        <f>"Lama3"</f>
        <v>Lama3</v>
      </c>
      <c r="C22" s="2741">
        <v>2</v>
      </c>
      <c r="D22" s="2727"/>
      <c r="E22" s="2726"/>
      <c r="F22" s="2726"/>
      <c r="G22" s="2716"/>
      <c r="H22" s="2693"/>
      <c r="I22" s="2693"/>
      <c r="J22" s="2692"/>
      <c r="K22" s="2693"/>
      <c r="L22" s="2705"/>
      <c r="M22" s="2697"/>
      <c r="N22" s="2691"/>
      <c r="O22" s="2736"/>
      <c r="R22" s="2746" t="s">
        <v>4069</v>
      </c>
      <c r="S22" s="2746" t="s">
        <v>4081</v>
      </c>
    </row>
    <row r="23" spans="1:19" ht="26">
      <c r="A23" s="2738"/>
      <c r="B23" s="2737" t="str">
        <f>"Ahr"</f>
        <v>Ahr</v>
      </c>
      <c r="C23" s="2741">
        <v>2</v>
      </c>
      <c r="D23" s="2703"/>
      <c r="E23" s="2703"/>
      <c r="F23" s="2703"/>
      <c r="G23" s="2722"/>
      <c r="H23" s="2701"/>
      <c r="I23" s="2701"/>
      <c r="J23" s="2706"/>
      <c r="K23" s="2709"/>
      <c r="L23" s="2711"/>
      <c r="M23" s="2686"/>
      <c r="N23" s="2686"/>
      <c r="O23" s="2690"/>
      <c r="R23" s="2746" t="s">
        <v>4071</v>
      </c>
      <c r="S23" s="2746" t="s">
        <v>4082</v>
      </c>
    </row>
    <row r="24" spans="1:19" ht="26">
      <c r="A24" s="2738" t="s">
        <v>4065</v>
      </c>
      <c r="B24" s="2737" t="str">
        <f>"Gprc5a"</f>
        <v>Gprc5a</v>
      </c>
      <c r="C24" s="2741">
        <v>2</v>
      </c>
      <c r="D24" s="2684"/>
      <c r="E24" s="2726"/>
      <c r="F24" s="2684"/>
      <c r="G24" s="2716"/>
      <c r="H24" s="2693"/>
      <c r="I24" s="2709"/>
      <c r="J24" s="2698"/>
      <c r="K24" s="2699"/>
      <c r="L24" s="2705"/>
      <c r="M24" s="2686"/>
      <c r="N24" s="2697"/>
      <c r="O24" s="2733"/>
    </row>
    <row r="25" spans="1:19" ht="26">
      <c r="A25" s="2738" t="s">
        <v>4067</v>
      </c>
      <c r="B25" s="2737" t="str">
        <f>"Lgi3"</f>
        <v>Lgi3</v>
      </c>
      <c r="C25" s="2741">
        <v>2</v>
      </c>
      <c r="D25" s="2684"/>
      <c r="E25" s="2703"/>
      <c r="F25" s="2684"/>
      <c r="G25" s="2716"/>
      <c r="H25" s="2693"/>
      <c r="I25" s="2693"/>
      <c r="J25" s="2706"/>
      <c r="K25" s="2709"/>
      <c r="L25" s="2723"/>
      <c r="M25" s="2686"/>
      <c r="N25" s="2697"/>
      <c r="O25" s="2733"/>
    </row>
    <row r="26" spans="1:19" ht="26">
      <c r="A26" s="2738" t="s">
        <v>4064</v>
      </c>
      <c r="B26" s="2737" t="str">
        <f>"Nkd2"</f>
        <v>Nkd2</v>
      </c>
      <c r="C26" s="2741">
        <v>2</v>
      </c>
      <c r="D26" s="2684"/>
      <c r="E26" s="2684"/>
      <c r="F26" s="2684"/>
      <c r="G26" s="2716"/>
      <c r="H26" s="2693"/>
      <c r="I26" s="2693"/>
      <c r="J26" s="2735"/>
      <c r="K26" s="2694"/>
      <c r="L26" s="2723"/>
      <c r="M26" s="2686"/>
      <c r="N26" s="2691"/>
      <c r="O26" s="2690"/>
    </row>
    <row r="27" spans="1:19" ht="26">
      <c r="A27" s="2738" t="s">
        <v>4065</v>
      </c>
      <c r="B27" s="2737" t="str">
        <f>"Wif1"</f>
        <v>Wif1</v>
      </c>
      <c r="C27" s="2741">
        <v>2</v>
      </c>
      <c r="D27" s="2703"/>
      <c r="E27" s="2703"/>
      <c r="F27" s="2703"/>
      <c r="G27" s="2718"/>
      <c r="H27" s="2699"/>
      <c r="I27" s="2699"/>
      <c r="J27" s="2735"/>
      <c r="K27" s="2701"/>
      <c r="L27" s="2711"/>
      <c r="M27" s="2691"/>
      <c r="N27" s="2691"/>
      <c r="O27" s="2733"/>
    </row>
    <row r="28" spans="1:19" ht="26">
      <c r="A28" s="2738"/>
      <c r="B28" s="2737" t="str">
        <f>"Lama2"</f>
        <v>Lama2</v>
      </c>
      <c r="C28" s="2742">
        <v>3</v>
      </c>
      <c r="D28" s="2715"/>
      <c r="E28" s="2714"/>
      <c r="F28" s="2715"/>
      <c r="G28" s="2718"/>
      <c r="H28" s="2699"/>
      <c r="I28" s="2693"/>
      <c r="J28" s="2698"/>
      <c r="K28" s="2699"/>
      <c r="L28" s="2711"/>
      <c r="M28" s="2693"/>
      <c r="N28" s="2693"/>
      <c r="O28" s="2717"/>
    </row>
    <row r="29" spans="1:19" ht="26">
      <c r="A29" s="2738"/>
      <c r="B29" s="2737" t="str">
        <f>"Col1a2"</f>
        <v>Col1a2</v>
      </c>
      <c r="C29" s="2742">
        <v>3</v>
      </c>
      <c r="D29" s="2714"/>
      <c r="E29" s="2714"/>
      <c r="F29" s="2714"/>
      <c r="G29" s="2719"/>
      <c r="H29" s="2688"/>
      <c r="I29" s="2688"/>
      <c r="J29" s="2720"/>
      <c r="K29" s="2686"/>
      <c r="L29" s="2721"/>
      <c r="M29" s="2699"/>
      <c r="N29" s="2699"/>
      <c r="O29" s="2710"/>
    </row>
    <row r="30" spans="1:19" ht="26">
      <c r="A30" s="2738"/>
      <c r="B30" s="2737" t="str">
        <f>"Pdgfrb"</f>
        <v>Pdgfrb</v>
      </c>
      <c r="C30" s="2742">
        <v>3</v>
      </c>
      <c r="D30" s="2715"/>
      <c r="E30" s="2714"/>
      <c r="F30" s="2714"/>
      <c r="G30" s="2719"/>
      <c r="H30" s="2688"/>
      <c r="I30" s="2688"/>
      <c r="J30" s="2698"/>
      <c r="K30" s="2709"/>
      <c r="L30" s="2705"/>
      <c r="M30" s="2709"/>
      <c r="N30" s="2709"/>
      <c r="O30" s="2712"/>
    </row>
    <row r="31" spans="1:19" ht="26">
      <c r="A31" s="2738"/>
      <c r="B31" s="2737" t="str">
        <f>"Tbx20"</f>
        <v>Tbx20</v>
      </c>
      <c r="C31" s="2742">
        <v>3</v>
      </c>
      <c r="D31" s="2714"/>
      <c r="E31" s="2714"/>
      <c r="F31" s="2714"/>
      <c r="G31" s="2719"/>
      <c r="H31" s="2693"/>
      <c r="I31" s="2688"/>
      <c r="J31" s="2720"/>
      <c r="K31" s="2694"/>
      <c r="L31" s="2721"/>
      <c r="M31" s="2693"/>
      <c r="N31" s="2693"/>
      <c r="O31" s="2717"/>
    </row>
    <row r="32" spans="1:19" ht="26">
      <c r="A32" s="2738"/>
      <c r="B32" s="2737" t="str">
        <f>"Egfr"</f>
        <v>Egfr</v>
      </c>
      <c r="C32" s="2742">
        <v>3</v>
      </c>
      <c r="D32" s="2713"/>
      <c r="E32" s="2713"/>
      <c r="F32" s="2713"/>
      <c r="G32" s="2716"/>
      <c r="H32" s="2699"/>
      <c r="I32" s="2693"/>
      <c r="J32" s="2706"/>
      <c r="K32" s="2709"/>
      <c r="L32" s="2724"/>
      <c r="M32" s="2693"/>
      <c r="N32" s="2693"/>
      <c r="O32" s="2717"/>
    </row>
    <row r="33" spans="1:15" ht="26">
      <c r="A33" s="2738"/>
      <c r="B33" s="2737" t="str">
        <f>"Lgr5"</f>
        <v>Lgr5</v>
      </c>
      <c r="C33" s="2742">
        <v>3</v>
      </c>
      <c r="D33" s="2715"/>
      <c r="E33" s="2713"/>
      <c r="F33" s="2715"/>
      <c r="G33" s="2716"/>
      <c r="H33" s="2699"/>
      <c r="I33" s="2699"/>
      <c r="J33" s="2698"/>
      <c r="K33" s="2699"/>
      <c r="L33" s="2705"/>
      <c r="M33" s="2699"/>
      <c r="N33" s="2693"/>
      <c r="O33" s="2717"/>
    </row>
    <row r="34" spans="1:15" ht="26">
      <c r="A34" s="2738"/>
      <c r="B34" s="2737" t="str">
        <f>"Tgfb1"</f>
        <v>Tgfb1</v>
      </c>
      <c r="C34" s="2742">
        <v>3</v>
      </c>
      <c r="D34" s="2714"/>
      <c r="E34" s="2714"/>
      <c r="F34" s="2714"/>
      <c r="G34" s="2719"/>
      <c r="H34" s="2693"/>
      <c r="I34" s="2688"/>
      <c r="J34" s="2720"/>
      <c r="K34" s="2694"/>
      <c r="L34" s="2724"/>
      <c r="M34" s="2699"/>
      <c r="N34" s="2693"/>
      <c r="O34" s="2710"/>
    </row>
    <row r="35" spans="1:15" ht="26">
      <c r="A35" s="2738" t="s">
        <v>4068</v>
      </c>
      <c r="B35" s="2737" t="str">
        <f>"Pax8"</f>
        <v>Pax8</v>
      </c>
      <c r="C35" s="2743">
        <v>5</v>
      </c>
      <c r="D35" s="2726"/>
      <c r="E35" s="2684"/>
      <c r="F35" s="2684"/>
      <c r="G35" s="2707"/>
      <c r="H35" s="2691"/>
      <c r="I35" s="2691"/>
      <c r="J35" s="2692"/>
      <c r="K35" s="2693"/>
      <c r="L35" s="2700"/>
      <c r="M35" s="2709"/>
      <c r="N35" s="2701"/>
      <c r="O35" s="2712"/>
    </row>
    <row r="36" spans="1:15" ht="26">
      <c r="A36" s="2738" t="s">
        <v>4075</v>
      </c>
      <c r="B36" s="2737" t="str">
        <f>"Foxe1"</f>
        <v>Foxe1</v>
      </c>
      <c r="C36" s="2743">
        <v>5</v>
      </c>
      <c r="D36" s="2726"/>
      <c r="E36" s="2727"/>
      <c r="F36" s="2684"/>
      <c r="G36" s="2728"/>
      <c r="H36" s="2697"/>
      <c r="I36" s="2691"/>
      <c r="J36" s="2698"/>
      <c r="K36" s="2693"/>
      <c r="L36" s="2700"/>
      <c r="M36" s="2699"/>
      <c r="N36" s="2693"/>
      <c r="O36" s="2710"/>
    </row>
    <row r="37" spans="1:15" ht="26">
      <c r="A37" s="2738" t="s">
        <v>4070</v>
      </c>
      <c r="B37" s="2737" t="str">
        <f>"Hhex"</f>
        <v>Hhex</v>
      </c>
      <c r="C37" s="2743">
        <v>5</v>
      </c>
      <c r="D37" s="2684"/>
      <c r="E37" s="2726"/>
      <c r="F37" s="2726"/>
      <c r="G37" s="2707"/>
      <c r="H37" s="2697"/>
      <c r="I37" s="2697"/>
      <c r="J37" s="2692"/>
      <c r="K37" s="2693"/>
      <c r="L37" s="2700"/>
      <c r="M37" s="2699"/>
      <c r="N37" s="2699"/>
      <c r="O37" s="2710"/>
    </row>
    <row r="38" spans="1:15" ht="26">
      <c r="A38" s="2738" t="s">
        <v>4075</v>
      </c>
      <c r="B38" s="2737" t="str">
        <f>"Tg"</f>
        <v>Tg</v>
      </c>
      <c r="C38" s="2743">
        <v>5</v>
      </c>
      <c r="D38" s="2726"/>
      <c r="E38" s="2726"/>
      <c r="F38" s="2684"/>
      <c r="G38" s="2707"/>
      <c r="H38" s="2691"/>
      <c r="I38" s="2697"/>
      <c r="J38" s="2698"/>
      <c r="K38" s="2693"/>
      <c r="L38" s="2705"/>
      <c r="M38" s="2699"/>
      <c r="N38" s="2699"/>
      <c r="O38" s="2717"/>
    </row>
    <row r="39" spans="1:15" ht="26">
      <c r="A39" s="2738" t="s">
        <v>4076</v>
      </c>
      <c r="B39" s="2737" t="str">
        <f>"Prlr"</f>
        <v>Prlr</v>
      </c>
      <c r="C39" s="2743">
        <v>5</v>
      </c>
      <c r="D39" s="2684"/>
      <c r="E39" s="2684"/>
      <c r="F39" s="2684"/>
      <c r="G39" s="2728"/>
      <c r="H39" s="2691"/>
      <c r="I39" s="2697"/>
      <c r="J39" s="2692"/>
      <c r="K39" s="2693"/>
      <c r="L39" s="2700"/>
      <c r="M39" s="2699"/>
      <c r="N39" s="2709"/>
      <c r="O39" s="2712"/>
    </row>
    <row r="40" spans="1:15" ht="26">
      <c r="A40" s="2738"/>
      <c r="B40" s="2737" t="str">
        <f>"Cd44"</f>
        <v>Cd44</v>
      </c>
      <c r="C40" s="2743">
        <v>5</v>
      </c>
      <c r="D40" s="2684"/>
      <c r="E40" s="2684"/>
      <c r="F40" s="2684"/>
      <c r="G40" s="2707"/>
      <c r="H40" s="2686"/>
      <c r="I40" s="2691"/>
      <c r="J40" s="2692"/>
      <c r="K40" s="2693"/>
      <c r="L40" s="2700"/>
      <c r="M40" s="2701"/>
      <c r="N40" s="2694"/>
      <c r="O40" s="2702"/>
    </row>
    <row r="41" spans="1:15" ht="26">
      <c r="A41" s="2738" t="s">
        <v>4076</v>
      </c>
      <c r="B41" s="2737" t="str">
        <f>"Cd36"</f>
        <v>Cd36</v>
      </c>
      <c r="C41" s="2743">
        <v>5</v>
      </c>
      <c r="D41" s="2726"/>
      <c r="E41" s="2726"/>
      <c r="F41" s="2726"/>
      <c r="G41" s="2707"/>
      <c r="H41" s="2691"/>
      <c r="I41" s="2697"/>
      <c r="J41" s="2692"/>
      <c r="K41" s="2699"/>
      <c r="L41" s="2705"/>
      <c r="M41" s="2693"/>
      <c r="N41" s="2693"/>
      <c r="O41" s="2717"/>
    </row>
    <row r="42" spans="1:15" ht="26">
      <c r="A42" s="2738" t="s">
        <v>4075</v>
      </c>
      <c r="B42" s="2737" t="str">
        <f>"Iyd"</f>
        <v>Iyd</v>
      </c>
      <c r="C42" s="2743">
        <v>5</v>
      </c>
      <c r="D42" s="2726"/>
      <c r="E42" s="2684"/>
      <c r="F42" s="2684"/>
      <c r="G42" s="2728"/>
      <c r="H42" s="2691"/>
      <c r="I42" s="2691"/>
      <c r="J42" s="2687"/>
      <c r="K42" s="2699"/>
      <c r="L42" s="2705"/>
      <c r="M42" s="2709"/>
      <c r="N42" s="2693"/>
      <c r="O42" s="2710"/>
    </row>
    <row r="43" spans="1:15" ht="26">
      <c r="A43" s="2738"/>
      <c r="B43" s="2737" t="str">
        <f>"Sftpb"</f>
        <v>Sftpb</v>
      </c>
      <c r="C43" s="2743">
        <v>5</v>
      </c>
      <c r="D43" s="2684"/>
      <c r="E43" s="2726"/>
      <c r="F43" s="2684"/>
      <c r="G43" s="2728"/>
      <c r="H43" s="2691"/>
      <c r="I43" s="2691"/>
      <c r="J43" s="2698"/>
      <c r="K43" s="2693"/>
      <c r="L43" s="2689"/>
      <c r="M43" s="2709"/>
      <c r="N43" s="2709"/>
      <c r="O43" s="2710"/>
    </row>
    <row r="44" spans="1:15" ht="26">
      <c r="A44" s="2738"/>
      <c r="B44" s="2737" t="str">
        <f>"Slc16a2"</f>
        <v>Slc16a2</v>
      </c>
      <c r="C44" s="2743">
        <v>5</v>
      </c>
      <c r="D44" s="2726"/>
      <c r="E44" s="2684"/>
      <c r="F44" s="2726"/>
      <c r="G44" s="2707"/>
      <c r="H44" s="2691"/>
      <c r="I44" s="2691"/>
      <c r="J44" s="2687"/>
      <c r="K44" s="2693"/>
      <c r="L44" s="2700"/>
      <c r="M44" s="2709"/>
      <c r="N44" s="2709"/>
      <c r="O44" s="2712"/>
    </row>
    <row r="45" spans="1:15" ht="26">
      <c r="A45" s="2738" t="s">
        <v>4075</v>
      </c>
      <c r="B45" s="2737" t="str">
        <f>"Duoxa2"</f>
        <v>Duoxa2</v>
      </c>
      <c r="C45" s="2743">
        <v>5</v>
      </c>
      <c r="D45" s="2726"/>
      <c r="E45" s="2727"/>
      <c r="F45" s="2726"/>
      <c r="G45" s="2728"/>
      <c r="H45" s="2686"/>
      <c r="I45" s="2691"/>
      <c r="J45" s="2692"/>
      <c r="K45" s="2693"/>
      <c r="L45" s="2700"/>
      <c r="M45" s="2699"/>
      <c r="N45" s="2699"/>
      <c r="O45" s="2712"/>
    </row>
    <row r="46" spans="1:15" ht="26">
      <c r="A46" s="2738" t="s">
        <v>4076</v>
      </c>
      <c r="B46" s="2737" t="str">
        <f>"Cebpa"</f>
        <v>Cebpa</v>
      </c>
      <c r="C46" s="2743">
        <v>5</v>
      </c>
      <c r="D46" s="2726"/>
      <c r="E46" s="2726"/>
      <c r="F46" s="2726"/>
      <c r="G46" s="2728"/>
      <c r="H46" s="2697"/>
      <c r="I46" s="2686"/>
      <c r="J46" s="2698"/>
      <c r="K46" s="2693"/>
      <c r="L46" s="2689"/>
      <c r="M46" s="2699"/>
      <c r="N46" s="2699"/>
      <c r="O46" s="2717"/>
    </row>
    <row r="47" spans="1:15" ht="26">
      <c r="A47" s="2738" t="s">
        <v>4072</v>
      </c>
      <c r="B47" s="2737" t="str">
        <f>"Nkx2-1"</f>
        <v>Nkx2-1</v>
      </c>
      <c r="C47" s="2744">
        <v>6</v>
      </c>
      <c r="D47" s="2684"/>
      <c r="E47" s="2684"/>
      <c r="F47" s="2684"/>
      <c r="G47" s="2685"/>
      <c r="H47" s="2686"/>
      <c r="I47" s="2686"/>
      <c r="J47" s="2687"/>
      <c r="K47" s="2688"/>
      <c r="L47" s="2689"/>
      <c r="M47" s="2686"/>
      <c r="N47" s="2686"/>
      <c r="O47" s="2690"/>
    </row>
    <row r="48" spans="1:15" ht="26">
      <c r="A48" s="2738"/>
      <c r="B48" s="2737" t="s">
        <v>4083</v>
      </c>
      <c r="C48" s="2744">
        <v>6</v>
      </c>
      <c r="D48" s="2684"/>
      <c r="E48" s="2684"/>
      <c r="F48" s="2684"/>
      <c r="G48" s="2685"/>
      <c r="H48" s="2686"/>
      <c r="I48" s="2686"/>
      <c r="J48" s="2692"/>
      <c r="K48" s="2688"/>
      <c r="L48" s="2689"/>
      <c r="M48" s="2686"/>
      <c r="N48" s="2686"/>
      <c r="O48" s="2690"/>
    </row>
    <row r="49" spans="1:15" ht="26">
      <c r="A49" s="2738" t="s">
        <v>4077</v>
      </c>
      <c r="B49" s="2737" t="str">
        <f>"Cdh1"</f>
        <v>Cdh1</v>
      </c>
      <c r="C49" s="2744">
        <v>6</v>
      </c>
      <c r="D49" s="2684"/>
      <c r="E49" s="2684"/>
      <c r="F49" s="2684"/>
      <c r="G49" s="2685"/>
      <c r="H49" s="2686"/>
      <c r="I49" s="2691"/>
      <c r="J49" s="2692"/>
      <c r="K49" s="2693"/>
      <c r="L49" s="2689"/>
      <c r="M49" s="2694"/>
      <c r="N49" s="2686"/>
      <c r="O49" s="2695"/>
    </row>
    <row r="50" spans="1:15" ht="26">
      <c r="A50" s="2738" t="s">
        <v>4077</v>
      </c>
      <c r="B50" s="2737" t="str">
        <f>"Fzd6"</f>
        <v>Fzd6</v>
      </c>
      <c r="C50" s="2744">
        <v>6</v>
      </c>
      <c r="D50" s="2684"/>
      <c r="E50" s="2703"/>
      <c r="F50" s="2703"/>
      <c r="G50" s="2685"/>
      <c r="H50" s="2686"/>
      <c r="I50" s="2686"/>
      <c r="J50" s="2706"/>
      <c r="K50" s="2693"/>
      <c r="L50" s="2705"/>
      <c r="M50" s="2694"/>
      <c r="N50" s="2694"/>
      <c r="O50" s="2695"/>
    </row>
    <row r="51" spans="1:15" ht="26">
      <c r="A51" s="2738"/>
      <c r="B51" s="2737" t="str">
        <f>"Itga6"</f>
        <v>Itga6</v>
      </c>
      <c r="C51" s="2744">
        <v>6</v>
      </c>
      <c r="D51" s="2703"/>
      <c r="E51" s="2703"/>
      <c r="F51" s="2703"/>
      <c r="G51" s="2704"/>
      <c r="H51" s="2694"/>
      <c r="I51" s="2686"/>
      <c r="J51" s="2706"/>
      <c r="K51" s="2699"/>
      <c r="L51" s="2705"/>
      <c r="M51" s="2686"/>
      <c r="N51" s="2686"/>
      <c r="O51" s="2695"/>
    </row>
    <row r="52" spans="1:15" ht="26">
      <c r="A52" s="2738"/>
      <c r="B52" s="2737" t="str">
        <f>"Krt18"</f>
        <v>Krt18</v>
      </c>
      <c r="C52" s="2744">
        <v>6</v>
      </c>
      <c r="D52" s="2684"/>
      <c r="E52" s="2703"/>
      <c r="F52" s="2703"/>
      <c r="G52" s="2707"/>
      <c r="H52" s="2691"/>
      <c r="I52" s="2686"/>
      <c r="J52" s="2708"/>
      <c r="K52" s="2709"/>
      <c r="L52" s="2705"/>
      <c r="M52" s="2699"/>
      <c r="N52" s="2699"/>
      <c r="O52" s="2710"/>
    </row>
    <row r="53" spans="1:15" ht="26">
      <c r="A53" s="2738"/>
      <c r="B53" s="2737" t="str">
        <f>"Sema3c"</f>
        <v>Sema3c</v>
      </c>
      <c r="C53" s="2744">
        <v>6</v>
      </c>
      <c r="D53" s="2703"/>
      <c r="E53" s="2703"/>
      <c r="F53" s="2703"/>
      <c r="G53" s="2704"/>
      <c r="H53" s="2694"/>
      <c r="I53" s="2694"/>
      <c r="J53" s="2698"/>
      <c r="K53" s="2699"/>
      <c r="L53" s="2705"/>
      <c r="M53" s="2686"/>
      <c r="N53" s="2686"/>
      <c r="O53" s="2690"/>
    </row>
    <row r="54" spans="1:15" ht="26">
      <c r="A54" s="2738"/>
      <c r="B54" s="2737" t="str">
        <f>"Sema5b"</f>
        <v>Sema5b</v>
      </c>
      <c r="C54" s="2744">
        <v>6</v>
      </c>
      <c r="D54" s="2684"/>
      <c r="E54" s="2703"/>
      <c r="F54" s="2703"/>
      <c r="G54" s="2685"/>
      <c r="H54" s="2686"/>
      <c r="I54" s="2691"/>
      <c r="J54" s="2698"/>
      <c r="K54" s="2709"/>
      <c r="L54" s="2711"/>
      <c r="M54" s="2701"/>
      <c r="N54" s="2699"/>
      <c r="O54" s="2712"/>
    </row>
    <row r="55" spans="1:15" ht="26">
      <c r="A55" s="2738" t="s">
        <v>4078</v>
      </c>
      <c r="B55" s="2737" t="str">
        <f>"Gpr116"</f>
        <v>Gpr116</v>
      </c>
      <c r="C55" s="2744">
        <v>6</v>
      </c>
      <c r="D55" s="2684"/>
      <c r="E55" s="2684"/>
      <c r="F55" s="2684"/>
      <c r="G55" s="2685"/>
      <c r="H55" s="2686"/>
      <c r="I55" s="2686"/>
      <c r="J55" s="2687"/>
      <c r="K55" s="2693"/>
      <c r="L55" s="2700"/>
      <c r="M55" s="2686"/>
      <c r="N55" s="2694"/>
      <c r="O55" s="2695"/>
    </row>
    <row r="56" spans="1:15" ht="26">
      <c r="A56" s="2738"/>
      <c r="B56" s="2737" t="str">
        <f>"Ptpro"</f>
        <v>Ptpro</v>
      </c>
      <c r="C56" s="2744">
        <v>6</v>
      </c>
      <c r="D56" s="2684"/>
      <c r="E56" s="2684"/>
      <c r="F56" s="2684"/>
      <c r="G56" s="2704"/>
      <c r="H56" s="2694"/>
      <c r="I56" s="2694"/>
      <c r="J56" s="2692"/>
      <c r="K56" s="2693"/>
      <c r="L56" s="2700"/>
      <c r="M56" s="2686"/>
      <c r="N56" s="2686"/>
      <c r="O56" s="2690"/>
    </row>
    <row r="57" spans="1:15" ht="26">
      <c r="A57" s="2738" t="s">
        <v>4078</v>
      </c>
      <c r="B57" s="2737" t="str">
        <f>"Tmem100"</f>
        <v>Tmem100</v>
      </c>
      <c r="C57" s="2744">
        <v>6</v>
      </c>
      <c r="D57" s="2703"/>
      <c r="E57" s="2703"/>
      <c r="F57" s="2703"/>
      <c r="G57" s="2704"/>
      <c r="H57" s="2694"/>
      <c r="I57" s="2686"/>
      <c r="J57" s="2698"/>
      <c r="K57" s="2709"/>
      <c r="L57" s="2705"/>
      <c r="M57" s="2694"/>
      <c r="N57" s="2686"/>
      <c r="O57" s="2695"/>
    </row>
  </sheetData>
  <phoneticPr fontId="2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2016-09-22_Kotton_clusters</vt:lpstr>
      <vt:lpstr>List Figure 4</vt:lpstr>
      <vt:lpstr>Image Figure 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Kotton, Darrell</cp:lastModifiedBy>
  <dcterms:created xsi:type="dcterms:W3CDTF">2014-05-21T16:08:51Z</dcterms:created>
  <dcterms:modified xsi:type="dcterms:W3CDTF">2020-03-08T15:27:36Z</dcterms:modified>
</cp:coreProperties>
</file>